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cses.akos\Desktop\"/>
    </mc:Choice>
  </mc:AlternateContent>
  <bookViews>
    <workbookView xWindow="0" yWindow="0" windowWidth="28800" windowHeight="12300"/>
  </bookViews>
  <sheets>
    <sheet name="L'Harmattan címlista 2018" sheetId="1" r:id="rId1"/>
  </sheets>
  <calcPr calcId="162913"/>
</workbook>
</file>

<file path=xl/calcChain.xml><?xml version="1.0" encoding="utf-8"?>
<calcChain xmlns="http://schemas.openxmlformats.org/spreadsheetml/2006/main">
  <c r="F1340" i="1" l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<sst xmlns="http://schemas.openxmlformats.org/spreadsheetml/2006/main" count="5363" uniqueCount="3814">
  <si>
    <t>_3300</t>
  </si>
  <si>
    <t>Jeuge Isabelle –Maynart–Ghislaine Stora (szerk.)</t>
  </si>
  <si>
    <t xml:space="preserve"> Larousse gyermekenciklopédia</t>
  </si>
  <si>
    <t>Gyermek és ifjúsági / Gyerekeknek</t>
  </si>
  <si>
    <t>_3301</t>
  </si>
  <si>
    <t>Romines Garrett, Miko Christopher</t>
  </si>
  <si>
    <t xml:space="preserve"> Nem hivatalos Biblia Minecraftereknek</t>
  </si>
  <si>
    <t>_3303</t>
  </si>
  <si>
    <t>Lindo Elvira</t>
  </si>
  <si>
    <t xml:space="preserve"> Pápaszemes Manolito</t>
  </si>
  <si>
    <t>_3304</t>
  </si>
  <si>
    <t xml:space="preserve"> Szegény Manolito</t>
  </si>
  <si>
    <t>_2801a</t>
  </si>
  <si>
    <t>Bunuel Luis</t>
  </si>
  <si>
    <t xml:space="preserve"> Az andalúziai kutyától Az öldöklő angyalig. Forgatókönyvek 1.</t>
  </si>
  <si>
    <t>Irodalom / Filmművészet</t>
  </si>
  <si>
    <t>_2801b</t>
  </si>
  <si>
    <t xml:space="preserve"> Az Egy szobalány naplójától a Tristanáig. Forgatókönyvek 2.</t>
  </si>
  <si>
    <t>_2300</t>
  </si>
  <si>
    <t>Ács Margit</t>
  </si>
  <si>
    <t xml:space="preserve"> Párbaj</t>
  </si>
  <si>
    <t>Irodalom / Magyar irodalom</t>
  </si>
  <si>
    <t>_2300a</t>
  </si>
  <si>
    <t>Fürjes Péter</t>
  </si>
  <si>
    <t>kvarckép</t>
  </si>
  <si>
    <t>_2301</t>
  </si>
  <si>
    <t>Acsai Roland</t>
  </si>
  <si>
    <t xml:space="preserve"> Hajnali kút</t>
  </si>
  <si>
    <t>_2303</t>
  </si>
  <si>
    <t>Bangha Imre</t>
  </si>
  <si>
    <t>_2304</t>
  </si>
  <si>
    <t>Bárány Tibor - Rónai András (szerk.)</t>
  </si>
  <si>
    <t xml:space="preserve"> Filozófia és irodalom</t>
  </si>
  <si>
    <t>_2305</t>
  </si>
  <si>
    <t>Beke Albert</t>
  </si>
  <si>
    <t xml:space="preserve"> Keserű igazságok</t>
  </si>
  <si>
    <t>_2306</t>
  </si>
  <si>
    <t>Beregi Tamás</t>
  </si>
  <si>
    <t xml:space="preserve"> Noctambulo</t>
  </si>
  <si>
    <t>_2309</t>
  </si>
  <si>
    <t>Berkovits György</t>
  </si>
  <si>
    <t xml:space="preserve"> Ckó, a fényképész</t>
  </si>
  <si>
    <t>_2307</t>
  </si>
  <si>
    <t xml:space="preserve"> V. és Ú. / I. Díszcserje (kis)asszony</t>
  </si>
  <si>
    <t>_2308</t>
  </si>
  <si>
    <t xml:space="preserve"> V. és Ú. / II. Jelzőművész</t>
  </si>
  <si>
    <t>_2310</t>
  </si>
  <si>
    <t>Bíró András</t>
  </si>
  <si>
    <t xml:space="preserve"> Hazajöttem</t>
  </si>
  <si>
    <t>_2311</t>
  </si>
  <si>
    <t>Bíró Zoltán István</t>
  </si>
  <si>
    <t xml:space="preserve"> Gyarlóságok könyve</t>
  </si>
  <si>
    <t>_2312</t>
  </si>
  <si>
    <t>Bori István (szerk.)</t>
  </si>
  <si>
    <t xml:space="preserve"> Milyen a magyar? - 50 hungarikum</t>
  </si>
  <si>
    <t>_2313</t>
  </si>
  <si>
    <t>Czifrik Balázs</t>
  </si>
  <si>
    <t xml:space="preserve"> Élni a mélyben</t>
  </si>
  <si>
    <t>_2314</t>
  </si>
  <si>
    <t>Csengery Kristóf</t>
  </si>
  <si>
    <t xml:space="preserve"> Dalok könyve</t>
  </si>
  <si>
    <t>_2315</t>
  </si>
  <si>
    <t>Daróczi Anikó és Réthelyi Orsolya(szerk.)</t>
  </si>
  <si>
    <t xml:space="preserve"> Beatrijs. Egy apáca története</t>
  </si>
  <si>
    <t>_2316</t>
  </si>
  <si>
    <t>Dobai Lili</t>
  </si>
  <si>
    <t xml:space="preserve"> Képeskönyv</t>
  </si>
  <si>
    <t>_2317</t>
  </si>
  <si>
    <t>Dukay Nagy Ádám</t>
  </si>
  <si>
    <t xml:space="preserve"> Titokbhakta</t>
  </si>
  <si>
    <t>_2318</t>
  </si>
  <si>
    <t>Dunajcsik Mátyás</t>
  </si>
  <si>
    <t xml:space="preserve"> Repülési kézikönyv</t>
  </si>
  <si>
    <t>_2320</t>
  </si>
  <si>
    <t>Gál Mihály</t>
  </si>
  <si>
    <t xml:space="preserve"> Kitérő</t>
  </si>
  <si>
    <t>_2319</t>
  </si>
  <si>
    <t xml:space="preserve"> Sodródó palackposta</t>
  </si>
  <si>
    <t>_2319a</t>
  </si>
  <si>
    <t>Platófázis</t>
  </si>
  <si>
    <t>_2321</t>
  </si>
  <si>
    <t>Gallen William</t>
  </si>
  <si>
    <t xml:space="preserve"> Antantmisszió</t>
  </si>
  <si>
    <t>_2322</t>
  </si>
  <si>
    <t>Győrei Zsolt - Schlachtovszky Csaba</t>
  </si>
  <si>
    <t xml:space="preserve"> A passzív apaszív (JAK 141)</t>
  </si>
  <si>
    <t>_2324</t>
  </si>
  <si>
    <t>Gyukics Gábor</t>
  </si>
  <si>
    <t xml:space="preserve"> A kisfa galeri</t>
  </si>
  <si>
    <t>_2323</t>
  </si>
  <si>
    <t xml:space="preserve"> kié ez az arc</t>
  </si>
  <si>
    <t>_2327</t>
  </si>
  <si>
    <t>Hangzó Helikon</t>
  </si>
  <si>
    <t xml:space="preserve"> Kaláka - József Attila</t>
  </si>
  <si>
    <t>_2328</t>
  </si>
  <si>
    <t>Hegedüs Miklós</t>
  </si>
  <si>
    <t xml:space="preserve"> Az algebra vívmányai az indiai matematika klasszikus korszakában. Számrendszerek és aritmetikai megoldások</t>
  </si>
  <si>
    <t>_2331</t>
  </si>
  <si>
    <t>Hendi Péter</t>
  </si>
  <si>
    <t xml:space="preserve"> Alteregó</t>
  </si>
  <si>
    <t>_2330</t>
  </si>
  <si>
    <t xml:space="preserve"> A-moll szonáta.Három színdarab</t>
  </si>
  <si>
    <t>_2329</t>
  </si>
  <si>
    <t xml:space="preserve"> Átszállás Zürichben</t>
  </si>
  <si>
    <t>_2332</t>
  </si>
  <si>
    <t>Herold Ágnes</t>
  </si>
  <si>
    <t xml:space="preserve"> Még ma velem leszel</t>
  </si>
  <si>
    <t>_2333</t>
  </si>
  <si>
    <t>Hidas Judit</t>
  </si>
  <si>
    <t xml:space="preserve"> HOTEL HAVANNA. Tizenhat szelíd történet</t>
  </si>
  <si>
    <t>_2334</t>
  </si>
  <si>
    <t>Inkei Bence</t>
  </si>
  <si>
    <t xml:space="preserve"> Mirelit</t>
  </si>
  <si>
    <t>_2335</t>
  </si>
  <si>
    <t>k.kabai lóránt (szerk.)</t>
  </si>
  <si>
    <t xml:space="preserve"> Egészrész. Fiatal költők antológiája</t>
  </si>
  <si>
    <t>_2336</t>
  </si>
  <si>
    <t>Kalla Éva</t>
  </si>
  <si>
    <t xml:space="preserve"> Az álomadás</t>
  </si>
  <si>
    <t>_2337</t>
  </si>
  <si>
    <t>Kelecsényi László</t>
  </si>
  <si>
    <t xml:space="preserve"> Eső és telefon</t>
  </si>
  <si>
    <t>_2338</t>
  </si>
  <si>
    <t>Kibédi Varga Áron</t>
  </si>
  <si>
    <t xml:space="preserve"> Ragozás</t>
  </si>
  <si>
    <t>_2341</t>
  </si>
  <si>
    <t>Király Levente</t>
  </si>
  <si>
    <t xml:space="preserve"> Égre írt könyv</t>
  </si>
  <si>
    <t>_2340</t>
  </si>
  <si>
    <t xml:space="preserve"> Énekek éneke</t>
  </si>
  <si>
    <t>_2339</t>
  </si>
  <si>
    <t xml:space="preserve"> Hová menekülsz</t>
  </si>
  <si>
    <t>_2342</t>
  </si>
  <si>
    <t xml:space="preserve"> Pergamen</t>
  </si>
  <si>
    <t>_2343</t>
  </si>
  <si>
    <t>Kisantal Tamás - Menyhért Anna (szerk.)</t>
  </si>
  <si>
    <t xml:space="preserve"> Művészet és hatalom - A Kádár-korszak művészete (JAK 139)</t>
  </si>
  <si>
    <t>_2344</t>
  </si>
  <si>
    <t>Kiss Tibor</t>
  </si>
  <si>
    <t xml:space="preserve"> Ventilátor blues</t>
  </si>
  <si>
    <t>_2345</t>
  </si>
  <si>
    <t>Kovács Emese</t>
  </si>
  <si>
    <t xml:space="preserve"> Hiába tekerek</t>
  </si>
  <si>
    <t>_2346</t>
  </si>
  <si>
    <t>Körmendi Nóra</t>
  </si>
  <si>
    <t xml:space="preserve"> Az utolsó mester</t>
  </si>
  <si>
    <t>_2347</t>
  </si>
  <si>
    <t>Krusovszky Dénes</t>
  </si>
  <si>
    <t xml:space="preserve"> Kíméletlen szentimentalizmus</t>
  </si>
  <si>
    <t>Üres</t>
  </si>
  <si>
    <t>_2348</t>
  </si>
  <si>
    <t>Kun Árpád</t>
  </si>
  <si>
    <t xml:space="preserve"> Szülsz</t>
  </si>
  <si>
    <t>_2349</t>
  </si>
  <si>
    <t>Lakatos Menyhért</t>
  </si>
  <si>
    <t xml:space="preserve"> Füstös képek</t>
  </si>
  <si>
    <t>_2351</t>
  </si>
  <si>
    <t>Lanczkor Gábor</t>
  </si>
  <si>
    <t xml:space="preserve"> Fehér Daloskönyv</t>
  </si>
  <si>
    <t>_2352</t>
  </si>
  <si>
    <t>Málik Roland</t>
  </si>
  <si>
    <t xml:space="preserve"> Ördög</t>
  </si>
  <si>
    <t>_2353</t>
  </si>
  <si>
    <t>Marton László Távolodó</t>
  </si>
  <si>
    <t xml:space="preserve"> Az utolsó funky</t>
  </si>
  <si>
    <t>_2354</t>
  </si>
  <si>
    <t xml:space="preserve"> Senkiföldje</t>
  </si>
  <si>
    <t>_2355</t>
  </si>
  <si>
    <t>Márton László</t>
  </si>
  <si>
    <t xml:space="preserve"> Zokogó zarándokok</t>
  </si>
  <si>
    <t>_2356</t>
  </si>
  <si>
    <t>Marton Lívia</t>
  </si>
  <si>
    <t xml:space="preserve"> Tainted Love - Romlott vágy</t>
  </si>
  <si>
    <t>_2357</t>
  </si>
  <si>
    <t>Medvegyev Szergej</t>
  </si>
  <si>
    <t xml:space="preserve"> Fodrásznő</t>
  </si>
  <si>
    <t>_2358</t>
  </si>
  <si>
    <t>Menyhért Anna - Vaderna Gábor (szerk.)</t>
  </si>
  <si>
    <t xml:space="preserve"> Amihez mindenki ért... Kultúratudományi tanulmányok</t>
  </si>
  <si>
    <t>_2359</t>
  </si>
  <si>
    <t>Mestyán Ádám</t>
  </si>
  <si>
    <t xml:space="preserve"> A magyar helyesírás szabályai</t>
  </si>
  <si>
    <t>_2360</t>
  </si>
  <si>
    <t>Mezei Gábor</t>
  </si>
  <si>
    <t xml:space="preserve"> függelék.</t>
  </si>
  <si>
    <t>_2361</t>
  </si>
  <si>
    <t>Mogyorósi László</t>
  </si>
  <si>
    <t xml:space="preserve"> Ugyanaz a szépség (JAK 138)</t>
  </si>
  <si>
    <t>_2363</t>
  </si>
  <si>
    <t>Nyerges András</t>
  </si>
  <si>
    <t xml:space="preserve"> Reciprok</t>
  </si>
  <si>
    <t>_2364</t>
  </si>
  <si>
    <t>Oravecz Péter</t>
  </si>
  <si>
    <t xml:space="preserve"> Tigrisfogat</t>
  </si>
  <si>
    <t>_2365</t>
  </si>
  <si>
    <t>Orosz István</t>
  </si>
  <si>
    <t xml:space="preserve"> Körzővel rajzolt víz</t>
  </si>
  <si>
    <t>_2366</t>
  </si>
  <si>
    <t>Pollágh Péter</t>
  </si>
  <si>
    <t xml:space="preserve"> Fogalom (JAK 135)</t>
  </si>
  <si>
    <t>_2367</t>
  </si>
  <si>
    <t>Rafi Lajos</t>
  </si>
  <si>
    <t xml:space="preserve"> Földhöz vert csoda</t>
  </si>
  <si>
    <t>_2375</t>
  </si>
  <si>
    <t>Sajó László</t>
  </si>
  <si>
    <t xml:space="preserve"> Aszfaltangyal</t>
  </si>
  <si>
    <t>_2368</t>
  </si>
  <si>
    <t xml:space="preserve"> Dögcédulák</t>
  </si>
  <si>
    <t>_2369</t>
  </si>
  <si>
    <t xml:space="preserve"> Evangélium szerintem</t>
  </si>
  <si>
    <t>_2372</t>
  </si>
  <si>
    <t xml:space="preserve"> Fényre sötétedő</t>
  </si>
  <si>
    <t>_2373</t>
  </si>
  <si>
    <t xml:space="preserve"> hal.doc</t>
  </si>
  <si>
    <t>_2371</t>
  </si>
  <si>
    <t xml:space="preserve"> Írottkő</t>
  </si>
  <si>
    <t>_2374</t>
  </si>
  <si>
    <t xml:space="preserve"> Magyar versek</t>
  </si>
  <si>
    <t>_2377</t>
  </si>
  <si>
    <t>Sándor Iván</t>
  </si>
  <si>
    <t xml:space="preserve"> A kő visszahull - Napló 1989-2014</t>
  </si>
  <si>
    <t>_2376</t>
  </si>
  <si>
    <t xml:space="preserve"> A történelem gépangyala. Válogatott esszék</t>
  </si>
  <si>
    <t>_2378</t>
  </si>
  <si>
    <t>Sarbu Aladár</t>
  </si>
  <si>
    <t xml:space="preserve"> Tájkép tóval</t>
  </si>
  <si>
    <t>_2379</t>
  </si>
  <si>
    <t>Schreiner Dénes</t>
  </si>
  <si>
    <t xml:space="preserve"> Mint kagylók, ha bezárulnak</t>
  </si>
  <si>
    <t>_2381</t>
  </si>
  <si>
    <t>Sopotnik Zoltán</t>
  </si>
  <si>
    <t xml:space="preserve"> Az őszinteség közepe</t>
  </si>
  <si>
    <t>_2382</t>
  </si>
  <si>
    <t>Svitel Anna</t>
  </si>
  <si>
    <t xml:space="preserve"> 896. Utazás egy szám körül</t>
  </si>
  <si>
    <t>_2383</t>
  </si>
  <si>
    <t>Szabó Ádám</t>
  </si>
  <si>
    <t xml:space="preserve"> Álomkórász nyolcadik útja</t>
  </si>
  <si>
    <t>_2384</t>
  </si>
  <si>
    <t xml:space="preserve"> Kelta keringő </t>
  </si>
  <si>
    <t>_2385</t>
  </si>
  <si>
    <t>Szabó Árpád</t>
  </si>
  <si>
    <t xml:space="preserve"> Aranygyapjú</t>
  </si>
  <si>
    <t>_2386</t>
  </si>
  <si>
    <t>Szabó Ildikó</t>
  </si>
  <si>
    <t xml:space="preserve"> Ahogy teltek az évek</t>
  </si>
  <si>
    <t>_2388</t>
  </si>
  <si>
    <t>Szabó Imola Julianna</t>
  </si>
  <si>
    <t xml:space="preserve"> A kinőtt szív (mese)</t>
  </si>
  <si>
    <t>_2387</t>
  </si>
  <si>
    <t>Szabó Imola</t>
  </si>
  <si>
    <t xml:space="preserve"> Varratok</t>
  </si>
  <si>
    <t>_2389</t>
  </si>
  <si>
    <t>Szántó T. Gábor</t>
  </si>
  <si>
    <t xml:space="preserve"> Édeshármas</t>
  </si>
  <si>
    <t>_2390</t>
  </si>
  <si>
    <t>Szekeres Varsa Veronika</t>
  </si>
  <si>
    <t xml:space="preserve"> Szalamandra</t>
  </si>
  <si>
    <t>_2391</t>
  </si>
  <si>
    <t>Szilágyi-Nagy Ildikó</t>
  </si>
  <si>
    <t xml:space="preserve"> Valami jó testnyílás (JAK 151)</t>
  </si>
  <si>
    <t>_2392</t>
  </si>
  <si>
    <t>Tábor Ádám</t>
  </si>
  <si>
    <t xml:space="preserve"> Versmező</t>
  </si>
  <si>
    <t>_2395</t>
  </si>
  <si>
    <t>Temesi Ferenc</t>
  </si>
  <si>
    <t xml:space="preserve"> Apám</t>
  </si>
  <si>
    <t>_2396</t>
  </si>
  <si>
    <t xml:space="preserve"> Miért nem lettem...?</t>
  </si>
  <si>
    <t>_2397</t>
  </si>
  <si>
    <t xml:space="preserve"> Tündér, mesék</t>
  </si>
  <si>
    <t>_2398</t>
  </si>
  <si>
    <t>Tétényi Csaba</t>
  </si>
  <si>
    <t xml:space="preserve"> Akkor sem biztosítási esemény</t>
  </si>
  <si>
    <t>_2399</t>
  </si>
  <si>
    <t>Tuster Jolán</t>
  </si>
  <si>
    <t xml:space="preserve"> A siklósi vár foglya</t>
  </si>
  <si>
    <t>_2400</t>
  </si>
  <si>
    <t>Vajdovics Zsuzsa</t>
  </si>
  <si>
    <t xml:space="preserve"> Lénárd Sándor:  világok vándora</t>
  </si>
  <si>
    <t>_2401</t>
  </si>
  <si>
    <t>Váradi Péter</t>
  </si>
  <si>
    <t xml:space="preserve"> Papírfigurák</t>
  </si>
  <si>
    <t>_2403</t>
  </si>
  <si>
    <t>Végh Attila</t>
  </si>
  <si>
    <t xml:space="preserve"> Hogy szívedet kiürítsd</t>
  </si>
  <si>
    <t>_2404</t>
  </si>
  <si>
    <t>Wizner Vég Balázs</t>
  </si>
  <si>
    <t xml:space="preserve"> Az argentin nő (JAK 140)</t>
  </si>
  <si>
    <t>_2405</t>
  </si>
  <si>
    <t>Zelei Bori</t>
  </si>
  <si>
    <t xml:space="preserve"> Kevert</t>
  </si>
  <si>
    <t>_2350</t>
  </si>
  <si>
    <t xml:space="preserve"> A tiszta ész (JAK 137)</t>
  </si>
  <si>
    <t>_2370</t>
  </si>
  <si>
    <t xml:space="preserve"> Istentelen színjáték</t>
  </si>
  <si>
    <t>_2380</t>
  </si>
  <si>
    <t>Simon Márton</t>
  </si>
  <si>
    <t xml:space="preserve"> Dalok a magasföldszintről</t>
  </si>
  <si>
    <t>_2700</t>
  </si>
  <si>
    <t>Abbász-ogli Adile</t>
  </si>
  <si>
    <t xml:space="preserve"> Hazám, Abházia</t>
  </si>
  <si>
    <t>Irodalom / Tényirodalom</t>
  </si>
  <si>
    <t>_2701</t>
  </si>
  <si>
    <t>Borsos Béla</t>
  </si>
  <si>
    <t xml:space="preserve"> Ázsiától Ázsiáig</t>
  </si>
  <si>
    <t>_2704</t>
  </si>
  <si>
    <t>Dr. Lenkeyné dr. Semsey Klára</t>
  </si>
  <si>
    <t xml:space="preserve"> Életinterjú</t>
  </si>
  <si>
    <t>_2705</t>
  </si>
  <si>
    <t>Dr. Tóth Zsigmond</t>
  </si>
  <si>
    <t xml:space="preserve"> Az orangután szorításában</t>
  </si>
  <si>
    <t>_2706</t>
  </si>
  <si>
    <t>Dr. Vámos Endréné dr. Vigyázó Lilly</t>
  </si>
  <si>
    <t xml:space="preserve"> Generációk szakácskönyve. A Monarchiától a 21. századig</t>
  </si>
  <si>
    <t>_2707</t>
  </si>
  <si>
    <t>Dr. Vígh Béla</t>
  </si>
  <si>
    <t xml:space="preserve"> Jógit kerestem Indiában</t>
  </si>
  <si>
    <t>_2708</t>
  </si>
  <si>
    <t>Farkas Erika–Vágner Mária</t>
  </si>
  <si>
    <t xml:space="preserve"> A HELY. 13 riport – Riportműsor a Kossuth Rádióban</t>
  </si>
  <si>
    <t>_2710</t>
  </si>
  <si>
    <t>Gyenes Károly</t>
  </si>
  <si>
    <t xml:space="preserve"> Az illusztrált tarokk könyve</t>
  </si>
  <si>
    <t>_2711</t>
  </si>
  <si>
    <t>Koczak Anna</t>
  </si>
  <si>
    <t xml:space="preserve"> Egy szál sárga rózsa</t>
  </si>
  <si>
    <t>_2712</t>
  </si>
  <si>
    <t>Kovács Marika-Liliane Fraysse</t>
  </si>
  <si>
    <t xml:space="preserve"> 1956 a munkástanácsok</t>
  </si>
  <si>
    <t>_2714</t>
  </si>
  <si>
    <t>Romhányi Attila</t>
  </si>
  <si>
    <t xml:space="preserve"> Barangolás az ősi Amerika földjén</t>
  </si>
  <si>
    <t>_2715</t>
  </si>
  <si>
    <t xml:space="preserve"> A tiszaeszlári per és 2015</t>
  </si>
  <si>
    <t>_2718</t>
  </si>
  <si>
    <t>Szarka Klára</t>
  </si>
  <si>
    <t xml:space="preserve"> Az árral szemben. Beszélgetések Krausz Tamással</t>
  </si>
  <si>
    <t>_2719</t>
  </si>
  <si>
    <t>Szent-Györgyi Imre</t>
  </si>
  <si>
    <t xml:space="preserve"> Drótok és fatornyok közt. Szent_György Imre naplója hadifogságából</t>
  </si>
  <si>
    <t>_2720</t>
  </si>
  <si>
    <t>Varga János</t>
  </si>
  <si>
    <t xml:space="preserve"> Nehéz életek, könnyű ételek . A tanyasi konyhától a modern cukrászatig</t>
  </si>
  <si>
    <t>_2721</t>
  </si>
  <si>
    <t>Xeravits Géza és Nagy Elek(szerk.)</t>
  </si>
  <si>
    <t xml:space="preserve"> Szent városok, szent körzetek Tibettől Etiópiáig</t>
  </si>
  <si>
    <t>_2713</t>
  </si>
  <si>
    <t>Tóth Zsigmod</t>
  </si>
  <si>
    <t>Magyar óriásnyúl</t>
  </si>
  <si>
    <t>_2500</t>
  </si>
  <si>
    <t>Amado Jorge</t>
  </si>
  <si>
    <t xml:space="preserve"> Galád Kandúr és Fecske kisasszony - Egy szerelem története</t>
  </si>
  <si>
    <t>Irodalom / Világirodalom</t>
  </si>
  <si>
    <t>_2503</t>
  </si>
  <si>
    <t>Agualusa José Eduardo</t>
  </si>
  <si>
    <t xml:space="preserve"> A múltkereskedő</t>
  </si>
  <si>
    <t>_2504</t>
  </si>
  <si>
    <t>Aiolli Valerio</t>
  </si>
  <si>
    <t xml:space="preserve"> Én és a bátyám</t>
  </si>
  <si>
    <t>_2506</t>
  </si>
  <si>
    <t>Ayala Francisco</t>
  </si>
  <si>
    <t xml:space="preserve"> Rút halál</t>
  </si>
  <si>
    <t>_2507</t>
  </si>
  <si>
    <t>Bauchau Henry</t>
  </si>
  <si>
    <t xml:space="preserve"> Oidipusz úton van</t>
  </si>
  <si>
    <t>_2508</t>
  </si>
  <si>
    <t>Baya Montserrat (válogatta)</t>
  </si>
  <si>
    <t xml:space="preserve"> Mentafagylalt. 24 mai katalán elbeszélő</t>
  </si>
  <si>
    <t>_2509</t>
  </si>
  <si>
    <t>Belbel Sergi –Jordi Galceran</t>
  </si>
  <si>
    <t xml:space="preserve"> 6 mai katalán dráma. Sergi Belbel és Jordi Galceran darabjai</t>
  </si>
  <si>
    <t>_2510</t>
  </si>
  <si>
    <t>Benová Helene</t>
  </si>
  <si>
    <t xml:space="preserve"> Café Hyena</t>
  </si>
  <si>
    <t>_2511</t>
  </si>
  <si>
    <t>Camenisch Arno</t>
  </si>
  <si>
    <t xml:space="preserve"> Az utolsó cseppig - Alpesi trilógia</t>
  </si>
  <si>
    <t>_2512</t>
  </si>
  <si>
    <t>Čar Aleš</t>
  </si>
  <si>
    <t xml:space="preserve"> Kutyatangó</t>
  </si>
  <si>
    <t>_2513</t>
  </si>
  <si>
    <t>Cartarescu Mircea</t>
  </si>
  <si>
    <t xml:space="preserve"> Káprázat. A test</t>
  </si>
  <si>
    <t>_2514</t>
  </si>
  <si>
    <t>Claudel Paul</t>
  </si>
  <si>
    <t xml:space="preserve"> Délforduló</t>
  </si>
  <si>
    <t>_2515</t>
  </si>
  <si>
    <t>Claus Hugo</t>
  </si>
  <si>
    <t xml:space="preserve"> Belgium bánata</t>
  </si>
  <si>
    <t>_2516</t>
  </si>
  <si>
    <t>Collins Mark</t>
  </si>
  <si>
    <t xml:space="preserve"> Hazátlanok</t>
  </si>
  <si>
    <t>_2517</t>
  </si>
  <si>
    <t>Cortázar Julio</t>
  </si>
  <si>
    <t xml:space="preserve"> 62/Kirakósjáték</t>
  </si>
  <si>
    <t>_2518</t>
  </si>
  <si>
    <t xml:space="preserve"> Átjárók</t>
  </si>
  <si>
    <t>_2519</t>
  </si>
  <si>
    <t xml:space="preserve"> Itt és most</t>
  </si>
  <si>
    <t>_2520</t>
  </si>
  <si>
    <t xml:space="preserve"> Játékok</t>
  </si>
  <si>
    <t>_2521</t>
  </si>
  <si>
    <t>Cortazár Julio</t>
  </si>
  <si>
    <t xml:space="preserve"> Kronópiók és fámák története</t>
  </si>
  <si>
    <t>_2522</t>
  </si>
  <si>
    <t xml:space="preserve"> Rítusok</t>
  </si>
  <si>
    <t>_2524</t>
  </si>
  <si>
    <t xml:space="preserve"> Sehol sem teljesen jelen</t>
  </si>
  <si>
    <t>_2525</t>
  </si>
  <si>
    <t>D. Horváth Karol</t>
  </si>
  <si>
    <t xml:space="preserve"> Karol D. Horváth</t>
  </si>
  <si>
    <t>_2526</t>
  </si>
  <si>
    <t>Dylan Thomas</t>
  </si>
  <si>
    <t xml:space="preserve"> Jegyzetfüzet-versek</t>
  </si>
  <si>
    <t>_2527</t>
  </si>
  <si>
    <t>Edugyan Esi</t>
  </si>
  <si>
    <t xml:space="preserve"> Samuel Tyne második élete</t>
  </si>
  <si>
    <t>_2528</t>
  </si>
  <si>
    <t>Erpenbeck Jenny</t>
  </si>
  <si>
    <t xml:space="preserve"> Otthon</t>
  </si>
  <si>
    <t>_2529</t>
  </si>
  <si>
    <t>Farrell J. G.</t>
  </si>
  <si>
    <t xml:space="preserve"> Zavaros idők</t>
  </si>
  <si>
    <t>_2530</t>
  </si>
  <si>
    <t>Gárdos-Péter-Ruttkay-Timár-Vince (szerk.)</t>
  </si>
  <si>
    <t xml:space="preserve"> Idegen költők - Örök barátaink</t>
  </si>
  <si>
    <t>_2531</t>
  </si>
  <si>
    <t>Garfinkel Jonathan</t>
  </si>
  <si>
    <t xml:space="preserve"> A Jeruzsálem-projekt</t>
  </si>
  <si>
    <t>_2532</t>
  </si>
  <si>
    <t>Gejl Trisse</t>
  </si>
  <si>
    <t xml:space="preserve"> Pátriárka</t>
  </si>
  <si>
    <t>_2533</t>
  </si>
  <si>
    <t>Gerstenberg Franciska</t>
  </si>
  <si>
    <t xml:space="preserve"> Ajándékok</t>
  </si>
  <si>
    <t>_2534</t>
  </si>
  <si>
    <t>Gronda Paul Baeten</t>
  </si>
  <si>
    <t xml:space="preserve"> Vegyünk búcsút együtt a szeretettől</t>
  </si>
  <si>
    <t>_2535</t>
  </si>
  <si>
    <t>Hadewijch</t>
  </si>
  <si>
    <t xml:space="preserve"> Dalok (ford.  Daróczi Anikó, Rakovszky Zsuzsa)</t>
  </si>
  <si>
    <t>_2536</t>
  </si>
  <si>
    <t>Hamsun Knut</t>
  </si>
  <si>
    <t xml:space="preserve"> Éhség</t>
  </si>
  <si>
    <t>_2537</t>
  </si>
  <si>
    <t>Harisankar Parszáí</t>
  </si>
  <si>
    <t xml:space="preserve"> Négy fal között.Modern indiai szatirikus novellák</t>
  </si>
  <si>
    <t>_2538</t>
  </si>
  <si>
    <t>Hulse Michael</t>
  </si>
  <si>
    <t xml:space="preserve"> A titkos történet</t>
  </si>
  <si>
    <t>_2539</t>
  </si>
  <si>
    <t>Jančar Drago</t>
  </si>
  <si>
    <t xml:space="preserve"> A névtelen fa</t>
  </si>
  <si>
    <t>_2540</t>
  </si>
  <si>
    <t>Jancar Drago</t>
  </si>
  <si>
    <t xml:space="preserve"> Ma éjjel láttam őt</t>
  </si>
  <si>
    <t>_2542</t>
  </si>
  <si>
    <t>Jergovic Miljenko</t>
  </si>
  <si>
    <t xml:space="preserve"> Buick Riviera</t>
  </si>
  <si>
    <t>_2543</t>
  </si>
  <si>
    <t xml:space="preserve"> Ruta Tannenbaum</t>
  </si>
  <si>
    <t>_2544</t>
  </si>
  <si>
    <t xml:space="preserve">Kennedy Allison L. </t>
  </si>
  <si>
    <t xml:space="preserve"> Hát boldog vagyok</t>
  </si>
  <si>
    <t>_2545</t>
  </si>
  <si>
    <t>Kepplová Zuska</t>
  </si>
  <si>
    <t xml:space="preserve"> HOTEL SZA_ADSÁG. 2 in 1</t>
  </si>
  <si>
    <t>_2546</t>
  </si>
  <si>
    <t>Klapproth Ruedi</t>
  </si>
  <si>
    <t xml:space="preserve"> Stefan</t>
  </si>
  <si>
    <t>_2547</t>
  </si>
  <si>
    <t>Kumerdej Mojca</t>
  </si>
  <si>
    <t xml:space="preserve"> Fragma</t>
  </si>
  <si>
    <t>_2548</t>
  </si>
  <si>
    <t>Kwahulé Koffi</t>
  </si>
  <si>
    <t xml:space="preserve"> Big shoot</t>
  </si>
  <si>
    <t>_2549</t>
  </si>
  <si>
    <t>Ledgard J.M.</t>
  </si>
  <si>
    <t xml:space="preserve"> Zsiráf</t>
  </si>
  <si>
    <t>_2550</t>
  </si>
  <si>
    <t>Lenz Pedro</t>
  </si>
  <si>
    <t xml:space="preserve"> A portás én vagyok</t>
  </si>
  <si>
    <t>_2554</t>
  </si>
  <si>
    <t>Lukkari Rauni Magga - Inger-Mari Aikio-Arianaick</t>
  </si>
  <si>
    <t xml:space="preserve"> Örökanyák - Világlányok. Számi versek</t>
  </si>
  <si>
    <t>_2555</t>
  </si>
  <si>
    <t>Lupo Giuseppe</t>
  </si>
  <si>
    <t xml:space="preserve"> Felhőutazók</t>
  </si>
  <si>
    <t>_2556</t>
  </si>
  <si>
    <t>Margarit Joan - Francesc Parcerisas</t>
  </si>
  <si>
    <t xml:space="preserve"> Natura morta</t>
  </si>
  <si>
    <t>_2557</t>
  </si>
  <si>
    <t>Mari Alessandro</t>
  </si>
  <si>
    <t xml:space="preserve"> Nagyon is emberi remény</t>
  </si>
  <si>
    <t>_2559</t>
  </si>
  <si>
    <t>Matei Vişniec</t>
  </si>
  <si>
    <t xml:space="preserve"> A kommunizmus története elmebetegeknek. Drámák</t>
  </si>
  <si>
    <t>_2560</t>
  </si>
  <si>
    <t>Mayorga Juan</t>
  </si>
  <si>
    <t xml:space="preserve"> Szerelmeslevelek Sztálinhoz</t>
  </si>
  <si>
    <t>_2562</t>
  </si>
  <si>
    <t>Mehmedinovic Semezdin</t>
  </si>
  <si>
    <t xml:space="preserve"> Ruszki komputer</t>
  </si>
  <si>
    <t>_2563</t>
  </si>
  <si>
    <t>Mehr Mariella</t>
  </si>
  <si>
    <t xml:space="preserve"> Kőkorszak</t>
  </si>
  <si>
    <t>_2564</t>
  </si>
  <si>
    <t xml:space="preserve"> Üzenetek a számkivetésből</t>
  </si>
  <si>
    <t>_2565</t>
  </si>
  <si>
    <t>Mešković Alen</t>
  </si>
  <si>
    <t xml:space="preserve"> Ukulele jam</t>
  </si>
  <si>
    <t>_2567</t>
  </si>
  <si>
    <t>Moncada Jesús</t>
  </si>
  <si>
    <t xml:space="preserve"> A folyók városa</t>
  </si>
  <si>
    <t>_2568</t>
  </si>
  <si>
    <t xml:space="preserve"> Balkézről jött történetek</t>
  </si>
  <si>
    <t>_2569</t>
  </si>
  <si>
    <t>Nelega Alina</t>
  </si>
  <si>
    <t xml:space="preserve"> Az utolsó boszork@ny</t>
  </si>
  <si>
    <t>_2570</t>
  </si>
  <si>
    <t>Novarina Valére</t>
  </si>
  <si>
    <t xml:space="preserve"> A test fényei</t>
  </si>
  <si>
    <t>_2571</t>
  </si>
  <si>
    <t xml:space="preserve"> Képzeletbeli operett</t>
  </si>
  <si>
    <t>_2572</t>
  </si>
  <si>
    <t>Ostalowska Lidia</t>
  </si>
  <si>
    <t xml:space="preserve"> Akvarellek</t>
  </si>
  <si>
    <t>_2573</t>
  </si>
  <si>
    <t>Outers Jean-Luc</t>
  </si>
  <si>
    <t xml:space="preserve"> Vízművek</t>
  </si>
  <si>
    <t>_2574</t>
  </si>
  <si>
    <t>Parulskis Sigitas</t>
  </si>
  <si>
    <t xml:space="preserve"> Mormogó fal</t>
  </si>
  <si>
    <t>_2575</t>
  </si>
  <si>
    <t>Paz Diego Trelles (szerk)</t>
  </si>
  <si>
    <t xml:space="preserve"> A jövő nem a miénk. Fiatal latin-amerikai elbeszélők</t>
  </si>
  <si>
    <t>_2576</t>
  </si>
  <si>
    <t>Péter Ágnes (szerk.)</t>
  </si>
  <si>
    <t xml:space="preserve"> Keats levelei</t>
  </si>
  <si>
    <t>_2577</t>
  </si>
  <si>
    <t>Pleijel Agneta</t>
  </si>
  <si>
    <t xml:space="preserve"> Lord Sohamár</t>
  </si>
  <si>
    <t>_2578</t>
  </si>
  <si>
    <t>Pollack Martin</t>
  </si>
  <si>
    <t xml:space="preserve"> Halott a bunkerban</t>
  </si>
  <si>
    <t>_2579</t>
  </si>
  <si>
    <t>Ponge Francis</t>
  </si>
  <si>
    <t xml:space="preserve"> A dolgok oldalán</t>
  </si>
  <si>
    <t>_2580</t>
  </si>
  <si>
    <t>Portante Jean</t>
  </si>
  <si>
    <t xml:space="preserve"> Mrs. Haroy, avagy a bálna emlékezete</t>
  </si>
  <si>
    <t>_2581</t>
  </si>
  <si>
    <t>Prodanović Mileta</t>
  </si>
  <si>
    <t xml:space="preserve"> Kert Velencében</t>
  </si>
  <si>
    <t>_2582</t>
  </si>
  <si>
    <t>Rammstedt Tilman</t>
  </si>
  <si>
    <t xml:space="preserve"> A közelben maradunk</t>
  </si>
  <si>
    <t>_2583</t>
  </si>
  <si>
    <t>Renberg Tore</t>
  </si>
  <si>
    <t xml:space="preserve"> Charlotte Isabel Hansen</t>
  </si>
  <si>
    <t>_2584</t>
  </si>
  <si>
    <t xml:space="preserve"> Mégis van apám</t>
  </si>
  <si>
    <t>_2585</t>
  </si>
  <si>
    <t xml:space="preserve"> Szerettem másképp is</t>
  </si>
  <si>
    <t>_2586</t>
  </si>
  <si>
    <t>Rilke Rainer Maria</t>
  </si>
  <si>
    <t xml:space="preserve"> Levelek egy ifjú költőhöz</t>
  </si>
  <si>
    <t>_2587</t>
  </si>
  <si>
    <t>Rodoreda</t>
  </si>
  <si>
    <t xml:space="preserve"> Törött tükör</t>
  </si>
  <si>
    <t>_2588</t>
  </si>
  <si>
    <t>Rossbacher Verena</t>
  </si>
  <si>
    <t xml:space="preserve"> Sóvárgás sárkányra</t>
  </si>
  <si>
    <t>_2589</t>
  </si>
  <si>
    <t>Rouaud Jean</t>
  </si>
  <si>
    <t xml:space="preserve"> A becsület mezején</t>
  </si>
  <si>
    <t>_2590</t>
  </si>
  <si>
    <t xml:space="preserve"> Jeles férfiak</t>
  </si>
  <si>
    <t>_2591</t>
  </si>
  <si>
    <t>Roubaud Jacques</t>
  </si>
  <si>
    <t xml:space="preserve"> A nagy londoni tűzvész</t>
  </si>
  <si>
    <t>_2592</t>
  </si>
  <si>
    <t>Rudan Vedrana</t>
  </si>
  <si>
    <t xml:space="preserve"> Fül, gége, kés</t>
  </si>
  <si>
    <t>_2593</t>
  </si>
  <si>
    <t>Ruthr Klüge</t>
  </si>
  <si>
    <t xml:space="preserve"> Élni, tovább</t>
  </si>
  <si>
    <t>_2594</t>
  </si>
  <si>
    <t>Sartre Jean-Paul</t>
  </si>
  <si>
    <t xml:space="preserve"> Bariona, avagy Színjáték a fájdalomról és a reményről</t>
  </si>
  <si>
    <t>_2595</t>
  </si>
  <si>
    <t>Sehic Faruk</t>
  </si>
  <si>
    <t xml:space="preserve"> Az Una hullámai</t>
  </si>
  <si>
    <t>_2596</t>
  </si>
  <si>
    <t>Serban Robert</t>
  </si>
  <si>
    <t xml:space="preserve"> Illatos koporsó</t>
  </si>
  <si>
    <t>_2597</t>
  </si>
  <si>
    <t>Shakespeare William</t>
  </si>
  <si>
    <t xml:space="preserve"> Julius Caesar</t>
  </si>
  <si>
    <t>_2598</t>
  </si>
  <si>
    <t xml:space="preserve">Sikulova Veronika </t>
  </si>
  <si>
    <t xml:space="preserve"> Hiányos fiasítás</t>
  </si>
  <si>
    <t>_2600</t>
  </si>
  <si>
    <t>Sikulova Veronika</t>
  </si>
  <si>
    <t xml:space="preserve"> Menettérti</t>
  </si>
  <si>
    <t>_2601</t>
  </si>
  <si>
    <t>Sowula Katarzyna</t>
  </si>
  <si>
    <t xml:space="preserve"> Nulla-nyolcszáz</t>
  </si>
  <si>
    <t>_2602</t>
  </si>
  <si>
    <t>Spark Muriel</t>
  </si>
  <si>
    <t xml:space="preserve"> Jean Brodie kisasszony fénykora</t>
  </si>
  <si>
    <t>_2603</t>
  </si>
  <si>
    <t>Stangl Thomas</t>
  </si>
  <si>
    <t xml:space="preserve"> Az egyetlen hely</t>
  </si>
  <si>
    <t>_2604</t>
  </si>
  <si>
    <t>Syha Ulrike - Margaret Obexer</t>
  </si>
  <si>
    <t xml:space="preserve"> Kísértethajó; China shipping</t>
  </si>
  <si>
    <t>_2605</t>
  </si>
  <si>
    <t>Szegré Victor</t>
  </si>
  <si>
    <t xml:space="preserve"> Egyirányú útlevél</t>
  </si>
  <si>
    <t>_2606</t>
  </si>
  <si>
    <t>Tavares Goncalo M.</t>
  </si>
  <si>
    <t xml:space="preserve"> Tanuljunk meg imádkozni a technika korában</t>
  </si>
  <si>
    <t>_2607</t>
  </si>
  <si>
    <t>Teodorovici Lucian Dan</t>
  </si>
  <si>
    <t xml:space="preserve"> Cirkuszunk bemutatja</t>
  </si>
  <si>
    <t>_2608</t>
  </si>
  <si>
    <t>Tode Emil</t>
  </si>
  <si>
    <t xml:space="preserve"> Hercegkisasszony</t>
  </si>
  <si>
    <t>_2609</t>
  </si>
  <si>
    <t>Tokarczuk Olga</t>
  </si>
  <si>
    <t xml:space="preserve"> Nappali ház, éjjeli ház</t>
  </si>
  <si>
    <t>_2610</t>
  </si>
  <si>
    <t xml:space="preserve"> Őskor és más idők</t>
  </si>
  <si>
    <t>_2611</t>
  </si>
  <si>
    <t>Tóth László</t>
  </si>
  <si>
    <t xml:space="preserve"> Gyalogösvények a magasba</t>
  </si>
  <si>
    <t>_2613</t>
  </si>
  <si>
    <t>Urbán Bálint (szerk.)</t>
  </si>
  <si>
    <t xml:space="preserve"> Melankólia ezerrel. Kortárs portugál drámák</t>
  </si>
  <si>
    <t>_2614</t>
  </si>
  <si>
    <t>Uri Helene</t>
  </si>
  <si>
    <t xml:space="preserve"> A legjobbjaink</t>
  </si>
  <si>
    <t>_2615</t>
  </si>
  <si>
    <t xml:space="preserve"> Szavak a múltból</t>
  </si>
  <si>
    <t>_2616</t>
  </si>
  <si>
    <t>Valle Elsa</t>
  </si>
  <si>
    <t xml:space="preserve"> Nyitott ajtók. Életrajzi regény</t>
  </si>
  <si>
    <t>_2617</t>
  </si>
  <si>
    <t>Vasile Ernu</t>
  </si>
  <si>
    <t xml:space="preserve"> Született Szovjetunióban</t>
  </si>
  <si>
    <t>_2618</t>
  </si>
  <si>
    <t>Vasta Giorgio</t>
  </si>
  <si>
    <t xml:space="preserve"> A megfogható idő</t>
  </si>
  <si>
    <t>_2619</t>
  </si>
  <si>
    <t>Villalonga Llorenç</t>
  </si>
  <si>
    <t xml:space="preserve"> Mallorcai udvarház</t>
  </si>
  <si>
    <t>_2620</t>
  </si>
  <si>
    <t>Vrkljan Irena</t>
  </si>
  <si>
    <t xml:space="preserve"> Selyem, olló - Marina, avagy az önéletrajzról</t>
  </si>
  <si>
    <t>_2621</t>
  </si>
  <si>
    <t>Westö Kjell</t>
  </si>
  <si>
    <t xml:space="preserve"> Ahol egykor jártunk</t>
  </si>
  <si>
    <t>_2622</t>
  </si>
  <si>
    <t>Zábransky David</t>
  </si>
  <si>
    <t xml:space="preserve"> Mindig más strandra vágyik</t>
  </si>
  <si>
    <t>_2623</t>
  </si>
  <si>
    <t>Zeniter Alice</t>
  </si>
  <si>
    <t xml:space="preserve"> Szomorú vasárnap</t>
  </si>
  <si>
    <t>_2523</t>
  </si>
  <si>
    <t xml:space="preserve"> Sántaiskola</t>
  </si>
  <si>
    <t>_2612</t>
  </si>
  <si>
    <t>Ugresic Dubravka</t>
  </si>
  <si>
    <t xml:space="preserve"> A fájdalom minisztériuma</t>
  </si>
  <si>
    <t>_2558</t>
  </si>
  <si>
    <t>Mariette Navarro</t>
  </si>
  <si>
    <t>Mi, hullámok</t>
  </si>
  <si>
    <t>_2801</t>
  </si>
  <si>
    <t xml:space="preserve"> Utolsó leheletem</t>
  </si>
  <si>
    <t>Művészet / Filmművészet</t>
  </si>
  <si>
    <t>_2803</t>
  </si>
  <si>
    <t xml:space="preserve"> Álmodozók és megszállottak. Bevezetés a magyar filmtörténetbe</t>
  </si>
  <si>
    <t>_2804</t>
  </si>
  <si>
    <t>Martin Ferenc</t>
  </si>
  <si>
    <t xml:space="preserve"> A félelem képei. Fritz Lang német filmjeinek látványvilága</t>
  </si>
  <si>
    <t>_2805</t>
  </si>
  <si>
    <t>Morsányi Bernadett</t>
  </si>
  <si>
    <t xml:space="preserve"> Egyedül szembejövet – Dobai Péter (és) művészete</t>
  </si>
  <si>
    <t>_2807</t>
  </si>
  <si>
    <t>Sárközy Réka</t>
  </si>
  <si>
    <t xml:space="preserve"> Elbeszélt múltjaink.A magyar történelmi dokumentumfilm útja</t>
  </si>
  <si>
    <t>_2808</t>
  </si>
  <si>
    <t>Tari János</t>
  </si>
  <si>
    <t xml:space="preserve"> A néprajzi és az antropológiai filmkészítés. Történeti, elméleti és gyakorlati példák</t>
  </si>
  <si>
    <t>_2809</t>
  </si>
  <si>
    <t>Varga Anna</t>
  </si>
  <si>
    <t xml:space="preserve"> Az 1910-es évek orosz némafilm-kultúrája</t>
  </si>
  <si>
    <t>_2810</t>
  </si>
  <si>
    <t>Varga Balázs</t>
  </si>
  <si>
    <t xml:space="preserve"> Filmrendszerváltások</t>
  </si>
  <si>
    <t>_2811</t>
  </si>
  <si>
    <t>Varga Balázs–Pálfi György</t>
  </si>
  <si>
    <t xml:space="preserve"> Final Cut – A tankönyv</t>
  </si>
  <si>
    <t>_2900</t>
  </si>
  <si>
    <t>Bartha-Kovács Katalin</t>
  </si>
  <si>
    <t xml:space="preserve"> A csend alakzatai a festészetben. </t>
  </si>
  <si>
    <t>Művészet / Képzőművészet</t>
  </si>
  <si>
    <t>_2901</t>
  </si>
  <si>
    <t>Bätchmann Oskar</t>
  </si>
  <si>
    <t xml:space="preserve"> Kiállító művészek</t>
  </si>
  <si>
    <t>_2902</t>
  </si>
  <si>
    <t>Bonnefoy Yves</t>
  </si>
  <si>
    <t xml:space="preserve"> Hollán Sándor</t>
  </si>
  <si>
    <t>_2903</t>
  </si>
  <si>
    <t>Darida Veronika</t>
  </si>
  <si>
    <t xml:space="preserve"> A fenséges és a rejtőzködő jelenlét - Louis Marin reprezentáció-elmélete</t>
  </si>
  <si>
    <t>_2904</t>
  </si>
  <si>
    <t xml:space="preserve"> Művészettapasztalatok(fenomenológiai megközelítések)</t>
  </si>
  <si>
    <t>_2905</t>
  </si>
  <si>
    <t>Ébli Gábor</t>
  </si>
  <si>
    <t xml:space="preserve"> Múzeumánia</t>
  </si>
  <si>
    <t>_2906</t>
  </si>
  <si>
    <t>F. Dózsa Katalin</t>
  </si>
  <si>
    <t xml:space="preserve"> Megbámulni és megbámultatni – Viselettörténeti tanulmányok</t>
  </si>
  <si>
    <t>_2906a</t>
  </si>
  <si>
    <t>Fekete Vali</t>
  </si>
  <si>
    <t>Stein Anna festészete</t>
  </si>
  <si>
    <t>_2907</t>
  </si>
  <si>
    <t>Földi Eszter</t>
  </si>
  <si>
    <t xml:space="preserve"> A képzőművészet mostohagyermeke – A magyar művészgrafika kezdetei 1890–1914</t>
  </si>
  <si>
    <t>_2909</t>
  </si>
  <si>
    <t>Gróf Ferenc</t>
  </si>
  <si>
    <t xml:space="preserve"> Tour de Paris</t>
  </si>
  <si>
    <t>_2910</t>
  </si>
  <si>
    <t>Gulyás Gábor</t>
  </si>
  <si>
    <t xml:space="preserve"> Mai cédrusok</t>
  </si>
  <si>
    <t>_2911</t>
  </si>
  <si>
    <t>Házas Nikoletta</t>
  </si>
  <si>
    <t xml:space="preserve"> A dobozba zárt gondolat (Marcel Duchamp)</t>
  </si>
  <si>
    <t>_2913</t>
  </si>
  <si>
    <t>Kerékgyártó István</t>
  </si>
  <si>
    <t xml:space="preserve"> Szentandrássy István</t>
  </si>
  <si>
    <t>_2914</t>
  </si>
  <si>
    <t>Nagy Edina (szerk.)</t>
  </si>
  <si>
    <t xml:space="preserve"> A kép a médiaművészet korában - Válogatás kortárs német esztétikai, médiaelméleti és művészettörténeti írásokból</t>
  </si>
  <si>
    <t>_2915</t>
  </si>
  <si>
    <t>Németh István</t>
  </si>
  <si>
    <t xml:space="preserve"> Műtárgyak a boncteremben</t>
  </si>
  <si>
    <t>_2917</t>
  </si>
  <si>
    <t>Róka Enikő</t>
  </si>
  <si>
    <t xml:space="preserve"> Nacionalizmus és modernizmus - Ernst Lajos gyűjteménye és az Ernst Múzeum</t>
  </si>
  <si>
    <t>_2918</t>
  </si>
  <si>
    <t>Sepsi Enikő–Lovász Irén–Kiss Gabriella–Faludy Judit (szerk.)</t>
  </si>
  <si>
    <t xml:space="preserve"> Vallás és művészet</t>
  </si>
  <si>
    <t>_2920</t>
  </si>
  <si>
    <t>Sümegi György (szerk.)</t>
  </si>
  <si>
    <t xml:space="preserve"> „Egyetlen dimenziónk a jelen” Szalay Lajos festő– és rajzolóművész levelezéséből</t>
  </si>
  <si>
    <t>_2921</t>
  </si>
  <si>
    <t xml:space="preserve"> A Kecskeméti Művésztelep dokumentumai (1909-1919)</t>
  </si>
  <si>
    <t>_2919</t>
  </si>
  <si>
    <t>Sümegi György</t>
  </si>
  <si>
    <t xml:space="preserve"> 1956 képtára (Gyorsjelentés)</t>
  </si>
  <si>
    <t>_2923</t>
  </si>
  <si>
    <t>Tóth Károly</t>
  </si>
  <si>
    <t xml:space="preserve"> A hódmezővásárhelyi művészcsoport</t>
  </si>
  <si>
    <t>_2924</t>
  </si>
  <si>
    <t>Varga Emőke</t>
  </si>
  <si>
    <t xml:space="preserve"> Az illusztráció a teóriában, a kritikában, az oktatásban</t>
  </si>
  <si>
    <t>_2925</t>
  </si>
  <si>
    <t xml:space="preserve"> Kalitka és korona. Kass János illusztrációiról</t>
  </si>
  <si>
    <t>_2926</t>
  </si>
  <si>
    <t>Veszprémi Nóra</t>
  </si>
  <si>
    <t xml:space="preserve"> Fölfújt pipere és költői mámor</t>
  </si>
  <si>
    <t>_2912</t>
  </si>
  <si>
    <t>Hornyik Sándor</t>
  </si>
  <si>
    <t xml:space="preserve"> Idegenek egy bűnös városban. Művészettörténetek és vizuális kultúrák</t>
  </si>
  <si>
    <t>_3000</t>
  </si>
  <si>
    <t>Deme János és Sz. Deme László (szerk.)</t>
  </si>
  <si>
    <t xml:space="preserve"> Ha a néző is résztvevővé válna. Kísérletek a színház és a közönség viszonyának újragondolására</t>
  </si>
  <si>
    <t>Művészet / Színháztudomány</t>
  </si>
  <si>
    <t>_3001</t>
  </si>
  <si>
    <t>Falussy Lilla</t>
  </si>
  <si>
    <t xml:space="preserve"> Trendek a kortárs olasz drámában</t>
  </si>
  <si>
    <t>_3002</t>
  </si>
  <si>
    <t>Győrei Zsolt</t>
  </si>
  <si>
    <t xml:space="preserve"> Heltai Jenő drámai életműve</t>
  </si>
  <si>
    <t>_3003</t>
  </si>
  <si>
    <t>Hermann Zoltán</t>
  </si>
  <si>
    <t xml:space="preserve"> Néző</t>
  </si>
  <si>
    <t>_3004</t>
  </si>
  <si>
    <t>Horváth Kata (szerk.)</t>
  </si>
  <si>
    <t xml:space="preserve"> A dráma mint társadalomkutatás</t>
  </si>
  <si>
    <t>_3005</t>
  </si>
  <si>
    <t>Horváth Kata(szerk.)</t>
  </si>
  <si>
    <t xml:space="preserve"> Új Néző - Társadalmi színházi kísérlet Magyarországon</t>
  </si>
  <si>
    <t>_3006</t>
  </si>
  <si>
    <t>Jákfalvi Magdolna, Kékesi Kun Árpád</t>
  </si>
  <si>
    <t xml:space="preserve"> A színháztudomány az akadémiai diszciplínák rendjében. Bécsy Tamás életművéről</t>
  </si>
  <si>
    <t>_3007</t>
  </si>
  <si>
    <t>Mestyán Ádám és Horváth Eszter (szerk.)</t>
  </si>
  <si>
    <t xml:space="preserve"> Látvány/színház – Performativitás, műfaj, test</t>
  </si>
  <si>
    <t>_3008</t>
  </si>
  <si>
    <t>Nánay István</t>
  </si>
  <si>
    <t xml:space="preserve"> Ruszt József</t>
  </si>
  <si>
    <t>_3009</t>
  </si>
  <si>
    <t>Nyusztay Iván</t>
  </si>
  <si>
    <t xml:space="preserve"> Az önazonosság alakváltozásai az abszurd drámában. Samuel Beckett, Harold Pinter és Tom Stoppard</t>
  </si>
  <si>
    <t>_3010</t>
  </si>
  <si>
    <t>P. Müller Péter</t>
  </si>
  <si>
    <t xml:space="preserve"> A magyar dráma az ezredfordulón</t>
  </si>
  <si>
    <t>_3011</t>
  </si>
  <si>
    <t>Pavis Patrice</t>
  </si>
  <si>
    <t xml:space="preserve"> Színházi szótár</t>
  </si>
  <si>
    <t>_3012</t>
  </si>
  <si>
    <t>Peterdi Nagy László</t>
  </si>
  <si>
    <t xml:space="preserve"> Az orosz komédia</t>
  </si>
  <si>
    <t>_3013</t>
  </si>
  <si>
    <t>Rosner Krisztina</t>
  </si>
  <si>
    <t xml:space="preserve"> A színészi jelenlét és a csend dramatikus-teátrális játékai</t>
  </si>
  <si>
    <t>_3014</t>
  </si>
  <si>
    <t>Sepsi Enikő</t>
  </si>
  <si>
    <t xml:space="preserve"> Pilinszky János mozdulatlan színháza - Francia</t>
  </si>
  <si>
    <t>_3015</t>
  </si>
  <si>
    <t xml:space="preserve"> Pilinszky János mozdulatlan színháza - Magyar</t>
  </si>
  <si>
    <t>_3016</t>
  </si>
  <si>
    <t xml:space="preserve"> Pilinszky János mozdulatlan színháza - Magyar - 2. javított kiadás</t>
  </si>
  <si>
    <t>_3100</t>
  </si>
  <si>
    <t>Bremser Martha (szerk.)</t>
  </si>
  <si>
    <t xml:space="preserve"> Ötven kortárs koreográfus</t>
  </si>
  <si>
    <t>Művészet / Táncművészet</t>
  </si>
  <si>
    <t>_3101</t>
  </si>
  <si>
    <t>Copeland Roger</t>
  </si>
  <si>
    <t xml:space="preserve"> Merce Cunningham</t>
  </si>
  <si>
    <t>_3102</t>
  </si>
  <si>
    <t>Duncan Isadora</t>
  </si>
  <si>
    <t xml:space="preserve"> Életem</t>
  </si>
  <si>
    <t>_3103</t>
  </si>
  <si>
    <t>Fuchs Lívia</t>
  </si>
  <si>
    <t xml:space="preserve"> Száz év tánc</t>
  </si>
  <si>
    <t>_3104</t>
  </si>
  <si>
    <t xml:space="preserve"> Táncpoétikák. Szöveggyűjtemény a reneszánsztól a posztmodernig</t>
  </si>
  <si>
    <t>_3104a</t>
  </si>
  <si>
    <t>Fuchs Lívia (szerk.)</t>
  </si>
  <si>
    <t>Dance Profile Hungary</t>
  </si>
  <si>
    <t>_3105</t>
  </si>
  <si>
    <t>Fügedi János</t>
  </si>
  <si>
    <t xml:space="preserve"> Tánc - jel - írás. A néptáncok lejegyzése Lábán-kinetográfiával</t>
  </si>
  <si>
    <t>_3109</t>
  </si>
  <si>
    <t>Fügedi János-Vavrinec András (szerk.)</t>
  </si>
  <si>
    <t xml:space="preserve"> Régi magyar táncstílus (magyar-angol)</t>
  </si>
  <si>
    <t>_3110</t>
  </si>
  <si>
    <t>Karszavina Tamara</t>
  </si>
  <si>
    <t xml:space="preserve"> Színház utca</t>
  </si>
  <si>
    <t>_3111</t>
  </si>
  <si>
    <t>Lábán Rudolf</t>
  </si>
  <si>
    <t xml:space="preserve"> Koreográfia</t>
  </si>
  <si>
    <t>_3112</t>
  </si>
  <si>
    <t xml:space="preserve"> Táncnak szentelt élet</t>
  </si>
  <si>
    <t>_3113</t>
  </si>
  <si>
    <t>Noverre Jean-Georges</t>
  </si>
  <si>
    <t xml:space="preserve"> Levelek a táncról</t>
  </si>
  <si>
    <t>_3114</t>
  </si>
  <si>
    <t>Paksa Katalin</t>
  </si>
  <si>
    <t xml:space="preserve"> Az ugrós táncok zenéje</t>
  </si>
  <si>
    <t>_3115</t>
  </si>
  <si>
    <t>Schmidt Jochen</t>
  </si>
  <si>
    <t xml:space="preserve"> Pina Bausch</t>
  </si>
  <si>
    <t>_3200</t>
  </si>
  <si>
    <t>A. Gergely András (szerk.)</t>
  </si>
  <si>
    <t xml:space="preserve"> Zeneantropolisz. Hazai utak a zeneantropológiához</t>
  </si>
  <si>
    <t>Művészet / Zenetudomány</t>
  </si>
  <si>
    <t>_3201</t>
  </si>
  <si>
    <t>Berlász Melinda–Grabócz Márta (szerk.)</t>
  </si>
  <si>
    <t xml:space="preserve"> Tanulmánykötet Ujfalussy József emlékére</t>
  </si>
  <si>
    <t>_3202</t>
  </si>
  <si>
    <t>Brauer-Benke József</t>
  </si>
  <si>
    <t xml:space="preserve"> Afrikai hangszerek</t>
  </si>
  <si>
    <t>_3203</t>
  </si>
  <si>
    <t xml:space="preserve"> Maácz László és a magyar néptánckutatás</t>
  </si>
  <si>
    <t>_3204</t>
  </si>
  <si>
    <t>Fülöp József (szerk.)</t>
  </si>
  <si>
    <t xml:space="preserve"> A zenei hallás</t>
  </si>
  <si>
    <t>_3205</t>
  </si>
  <si>
    <t>Küllős Imola</t>
  </si>
  <si>
    <t xml:space="preserve"> Közköltészet és népköltészet</t>
  </si>
  <si>
    <t>_3208</t>
  </si>
  <si>
    <t>Medgyesy S. Norbert</t>
  </si>
  <si>
    <t xml:space="preserve"> Énekelt történelem</t>
  </si>
  <si>
    <t>_3209</t>
  </si>
  <si>
    <t>Moreno Joseph J.</t>
  </si>
  <si>
    <t xml:space="preserve"> Belső zenéd dallama. Zeneterápia és a pszichodráma</t>
  </si>
  <si>
    <t>_3210</t>
  </si>
  <si>
    <t>Pintér Tibor</t>
  </si>
  <si>
    <t xml:space="preserve"> Tört akkordok.Zeneesztétikai írások</t>
  </si>
  <si>
    <t>_3211</t>
  </si>
  <si>
    <t>Sipos János - Ufuk Tavkul</t>
  </si>
  <si>
    <t xml:space="preserve"> A régi magyar népzene nyomában.A kaukázusi karacsájok népzenéje</t>
  </si>
  <si>
    <t>_3213</t>
  </si>
  <si>
    <t>Sipos János</t>
  </si>
  <si>
    <t xml:space="preserve"> Karachay-Balkar Folksongs</t>
  </si>
  <si>
    <t>_3212</t>
  </si>
  <si>
    <t xml:space="preserve"> Kyrgyz folksongs</t>
  </si>
  <si>
    <t>_3215</t>
  </si>
  <si>
    <t>Szalay Olga (szerk.)</t>
  </si>
  <si>
    <t xml:space="preserve"> Tükröződések. Tudománykötet Domokos Mária népzenekutató-zenetörténész tiszteletére</t>
  </si>
  <si>
    <t>_3216</t>
  </si>
  <si>
    <t>Tófalvy Tamás - Kacsuk Zoltán - Vályi Gábor(szerk.)</t>
  </si>
  <si>
    <t xml:space="preserve"> Zenei hálózatok</t>
  </si>
  <si>
    <t>_3217</t>
  </si>
  <si>
    <t>Walker Alan</t>
  </si>
  <si>
    <t xml:space="preserve"> Liszt-reflexiók</t>
  </si>
  <si>
    <t>_3218</t>
  </si>
  <si>
    <t>Windhager Károly Ákos</t>
  </si>
  <si>
    <t xml:space="preserve"> Vivente e moriente</t>
  </si>
  <si>
    <t>_0001</t>
  </si>
  <si>
    <t>Bajzáth Sándor–Tóth Eszter Zsófia–Rácz József</t>
  </si>
  <si>
    <t xml:space="preserve"> Repülök a gyógyszerrel - a kábítószerezés története a szocialista Magyarországon</t>
  </si>
  <si>
    <t>Tudomány / Addiktológia</t>
  </si>
  <si>
    <t>_0003</t>
  </si>
  <si>
    <t>Demetrovics Zsolt - Rácz József (szerk.)</t>
  </si>
  <si>
    <t xml:space="preserve"> Partik, drogok, ártalomcsökkentés</t>
  </si>
  <si>
    <t>_0004</t>
  </si>
  <si>
    <t>Demetrovics Zsolt- Paksi Borbála - Dúll Andrea (szerk.)</t>
  </si>
  <si>
    <t xml:space="preserve"> Pláza, ifjúság, életmód - egészséglélektani vizsgálatok a fiatalok körében</t>
  </si>
  <si>
    <t>_0005</t>
  </si>
  <si>
    <t>Demetrovics Zsolt, Urbán Róbert, Kökönyei Gyöngyi (szerk.)</t>
  </si>
  <si>
    <t xml:space="preserve"> Iskolai egészségpszichológia</t>
  </si>
  <si>
    <t>_0007</t>
  </si>
  <si>
    <t>Demetrovics Zsolt</t>
  </si>
  <si>
    <t xml:space="preserve"> Drog, család, személyiség</t>
  </si>
  <si>
    <t>_0006</t>
  </si>
  <si>
    <t xml:space="preserve"> Droghasználat Magyarország táncos szórakozóhelyein</t>
  </si>
  <si>
    <t>_0008</t>
  </si>
  <si>
    <t>Elekes Zsuzsanna</t>
  </si>
  <si>
    <t xml:space="preserve"> Egy változó kor ifjúsága</t>
  </si>
  <si>
    <t>_0009</t>
  </si>
  <si>
    <t>Fekete Péter</t>
  </si>
  <si>
    <t xml:space="preserve"> Szerencsejáték életre-halálra</t>
  </si>
  <si>
    <t>_0010</t>
  </si>
  <si>
    <t>Felvinczi Katalin (szerk.)</t>
  </si>
  <si>
    <t xml:space="preserve"> Drogpolitika számokban</t>
  </si>
  <si>
    <t>_0012</t>
  </si>
  <si>
    <t>Hoyer Mária</t>
  </si>
  <si>
    <t xml:space="preserve"> Sóvárgás és szenvedés. Az addiktív keresés mélylélektani megközelítése</t>
  </si>
  <si>
    <t>_0013</t>
  </si>
  <si>
    <t>Léderer Katalin</t>
  </si>
  <si>
    <t xml:space="preserve"> Egy ismeretlen történet</t>
  </si>
  <si>
    <t>_0014</t>
  </si>
  <si>
    <t>Paksi Borbála - Demetrovics Zsolt</t>
  </si>
  <si>
    <t xml:space="preserve"> A drogprevenciós gyakorlat megismerése - A budapesti drogprevenciós programok felmérése és értékelése</t>
  </si>
  <si>
    <t>_0015</t>
  </si>
  <si>
    <t>Paksi Borbála és Demetrovics Zsolt(szerk.)</t>
  </si>
  <si>
    <t xml:space="preserve"> Drogprevenció és egészségfejlesztés az iskolában</t>
  </si>
  <si>
    <t>_0016</t>
  </si>
  <si>
    <t>Paksi Borbála</t>
  </si>
  <si>
    <t xml:space="preserve"> Drogok és felnőttek</t>
  </si>
  <si>
    <t>_0017</t>
  </si>
  <si>
    <t>Pikó Bettina</t>
  </si>
  <si>
    <t xml:space="preserve"> Ifjúság, káros szenvdélyek és egészség a modern társadalomban</t>
  </si>
  <si>
    <t>_0018</t>
  </si>
  <si>
    <t xml:space="preserve"> Védőfaktorok nyomában. A káros szenvedélyek megelőzése és egészségfejlesztés serdülőkorban</t>
  </si>
  <si>
    <t>_0019</t>
  </si>
  <si>
    <t>Rácz József - Takács Ádám (szerk.)</t>
  </si>
  <si>
    <t xml:space="preserve"> Drogpolitika, hatalomgyakorlás és társadami közeg</t>
  </si>
  <si>
    <t>_0020</t>
  </si>
  <si>
    <t>Rácz József (szerk.)</t>
  </si>
  <si>
    <t xml:space="preserve"> Az esélyteremtés új útjai:  kortárs és sorstárs segítséggel szerzett tapasztalataink</t>
  </si>
  <si>
    <t>_0021</t>
  </si>
  <si>
    <t xml:space="preserve"> Leszakadók. A társadalmi kirekesztés folyamata</t>
  </si>
  <si>
    <t>_0022</t>
  </si>
  <si>
    <t>Rácz József, Márványkövi Ferenc, Melles Katalin, Vadász Viktória</t>
  </si>
  <si>
    <t xml:space="preserve"> Út a túléléshez. Nyílt színi droghasználat és</t>
  </si>
  <si>
    <t>_0023</t>
  </si>
  <si>
    <t>Rácz József</t>
  </si>
  <si>
    <t xml:space="preserve"> Kvalitatív drogkutatások</t>
  </si>
  <si>
    <t>_0025</t>
  </si>
  <si>
    <t>Ritter Ildikó</t>
  </si>
  <si>
    <t xml:space="preserve"> (T)örvény - a kábítószerrel való visszaélés büntetőjogi megítélésének hatásvizsgálata - 1999 március 1. után</t>
  </si>
  <si>
    <t>_0026</t>
  </si>
  <si>
    <t>Sinkáné-Sinka Rita</t>
  </si>
  <si>
    <t xml:space="preserve"> Kővirág - A drogpokol hétköznapjai</t>
  </si>
  <si>
    <t>_0027</t>
  </si>
  <si>
    <t>Miletics Balázs (szerk.)</t>
  </si>
  <si>
    <t>Szirének éneke</t>
  </si>
  <si>
    <t>_0100</t>
  </si>
  <si>
    <t>Andrásfalvy Bertalan - Vargyas Gábor (szerk.)</t>
  </si>
  <si>
    <t xml:space="preserve"> Antropogén ökológiai változások a Kárpát-medencében</t>
  </si>
  <si>
    <t>Tudomány / Antropológia</t>
  </si>
  <si>
    <t>_0101</t>
  </si>
  <si>
    <t>Bán Dávid</t>
  </si>
  <si>
    <t xml:space="preserve"> Utazás a pályaudvar körül. Az első indóháztól a pályaudvarokig</t>
  </si>
  <si>
    <t>_0102</t>
  </si>
  <si>
    <t>Bubnó Hedvig</t>
  </si>
  <si>
    <t xml:space="preserve"> Mítosz vallás és egyház Latin-Amerikában (Boglár Lajos emlékkötet)</t>
  </si>
  <si>
    <t>_0103</t>
  </si>
  <si>
    <t>Christian Moreh</t>
  </si>
  <si>
    <t xml:space="preserve"> Alcalái románok - Migráció és társadalmi differenciálódás</t>
  </si>
  <si>
    <t>_0105</t>
  </si>
  <si>
    <t>Dumont Louis</t>
  </si>
  <si>
    <t xml:space="preserve"> Bevezetés két szociálantropológiai elméletbe</t>
  </si>
  <si>
    <t>_0107</t>
  </si>
  <si>
    <t>Erdősi Péter - Sonkoly Gábor (szerk.)</t>
  </si>
  <si>
    <t xml:space="preserve"> A kulturális örökség</t>
  </si>
  <si>
    <t>_0109</t>
  </si>
  <si>
    <t>Faeta Francesco</t>
  </si>
  <si>
    <t xml:space="preserve"> Demológia, antropológia és kultúrkritika - Az olasz kérdés</t>
  </si>
  <si>
    <t>_0110</t>
  </si>
  <si>
    <t>Farkas Judit</t>
  </si>
  <si>
    <t xml:space="preserve"> Ardzsuna dilemmája</t>
  </si>
  <si>
    <t>_0111</t>
  </si>
  <si>
    <t>Vargyas Gábor (szerk.)</t>
  </si>
  <si>
    <t>Fehéren, feketén Varsánytól Rititiig - I.</t>
  </si>
  <si>
    <t>_0111a</t>
  </si>
  <si>
    <t>Fehéren, feketén Varsánytól Rititiig - II.</t>
  </si>
  <si>
    <t>_0112</t>
  </si>
  <si>
    <t>Gennep Arnold van</t>
  </si>
  <si>
    <t xml:space="preserve"> Átmeneti rítusok.</t>
  </si>
  <si>
    <t>_0113</t>
  </si>
  <si>
    <t>Görög-Karády Veronika</t>
  </si>
  <si>
    <t xml:space="preserve"> Éva gyermekei és az egyenlőtlenség eredete. Mesék, teremtéstörténetek etnoszemiotikai elemzései</t>
  </si>
  <si>
    <t>_0114</t>
  </si>
  <si>
    <t>Hála József, ifj. Kodolányi János (közreadók)</t>
  </si>
  <si>
    <t xml:space="preserve"> Úton a szibériai atyafiakhoz - Jankó János oroszországi levelei</t>
  </si>
  <si>
    <t>_0115</t>
  </si>
  <si>
    <t>Hesz Ágnes</t>
  </si>
  <si>
    <t xml:space="preserve"> Élők, holtak és adósságok. A halottak szerepe egy erdélyi falu társadalmában</t>
  </si>
  <si>
    <t>_0116</t>
  </si>
  <si>
    <t>Hofer Tamás</t>
  </si>
  <si>
    <t xml:space="preserve"> Antropológia és/vagy néprajz? Tanulmányok két, vitában álló kutatási terület határvidékéről</t>
  </si>
  <si>
    <t>_0117</t>
  </si>
  <si>
    <t>Kisdi Barbara</t>
  </si>
  <si>
    <t xml:space="preserve"> Mint a földbe hullott mag. Otthon szülés Magyarországon – egy antropológiai vizsgálat tanulságai</t>
  </si>
  <si>
    <t>_0118</t>
  </si>
  <si>
    <t>Kunt Ernő</t>
  </si>
  <si>
    <t xml:space="preserve"> Az antropológia keresése - Válogatott tanulmányok</t>
  </si>
  <si>
    <t>_0119</t>
  </si>
  <si>
    <t>Landgraf Ildikó és Nagy Zoltán(szerk.)</t>
  </si>
  <si>
    <t xml:space="preserve"> Az elkerülhetetlen</t>
  </si>
  <si>
    <t>_0122</t>
  </si>
  <si>
    <t>Mészáros Csaba</t>
  </si>
  <si>
    <t xml:space="preserve"> Tekintély és bizalom. Kultúra és társadalom két szibériai faluközösségben</t>
  </si>
  <si>
    <t>Minnijahmetova Tatyjana</t>
  </si>
  <si>
    <t>_0125</t>
  </si>
  <si>
    <t xml:space="preserve"> Az ismeretlen ismerős - 2. javított kiadás</t>
  </si>
  <si>
    <t>_0127</t>
  </si>
  <si>
    <t>Nagy Ilona</t>
  </si>
  <si>
    <t xml:space="preserve"> A Grimm-meséktől a modern mondákig</t>
  </si>
  <si>
    <t>_0128</t>
  </si>
  <si>
    <t>Nagy Zoltán</t>
  </si>
  <si>
    <t xml:space="preserve"> Őseink még hittek az ördögökben. Vallási változatok a vaszjugani hantiknál</t>
  </si>
  <si>
    <t>_0129</t>
  </si>
  <si>
    <t>Prónai Csaba (szerk.)</t>
  </si>
  <si>
    <t xml:space="preserve"> Cigányok Európában - Franciaország</t>
  </si>
  <si>
    <t>_0131</t>
  </si>
  <si>
    <t>Ruttkay Eszter</t>
  </si>
  <si>
    <t xml:space="preserve"> Amikor a láb elnehezül</t>
  </si>
  <si>
    <t>_0132</t>
  </si>
  <si>
    <t>Ruttkay-Miklián Eszter</t>
  </si>
  <si>
    <t xml:space="preserve"> Testi-lelki rokonság. A szinjai hantik rokonsági csoportjai</t>
  </si>
  <si>
    <t>_0135</t>
  </si>
  <si>
    <t>Sárkány Mihály</t>
  </si>
  <si>
    <t xml:space="preserve"> Társadalom és gazdaság - II. javított kiadás</t>
  </si>
  <si>
    <t>_0136</t>
  </si>
  <si>
    <t>Szarvas Zsuzsa (szerk.)</t>
  </si>
  <si>
    <t xml:space="preserve"> Migráció és turizmus</t>
  </si>
  <si>
    <t>_0138</t>
  </si>
  <si>
    <t>Vargyas Gábor</t>
  </si>
  <si>
    <t xml:space="preserve"> Dacolva az elkerülhetetlennel</t>
  </si>
  <si>
    <t>_0139</t>
  </si>
  <si>
    <t>Vidacs Bea</t>
  </si>
  <si>
    <t xml:space="preserve"> Egy szebb jövő képei-Futball a kameruni közgondolkodásban</t>
  </si>
  <si>
    <t>_0140</t>
  </si>
  <si>
    <t>Vincze Kata Zsófia</t>
  </si>
  <si>
    <t xml:space="preserve"> Visszatérők a tradícióhoz</t>
  </si>
  <si>
    <t>_0141a</t>
  </si>
  <si>
    <t>Zombory Máté</t>
  </si>
  <si>
    <t xml:space="preserve"> Maps of Remembrance.Space, belonging and politics of memory in eastern Europe</t>
  </si>
  <si>
    <t>_0141</t>
  </si>
  <si>
    <t xml:space="preserve"> Az emlékezés térképei.Magyarország és a nemzeti azonosság 1989 után</t>
  </si>
  <si>
    <t>_0200</t>
  </si>
  <si>
    <t>A Leibniz-Clarke levelezés</t>
  </si>
  <si>
    <t>Tudomány / Filozófia</t>
  </si>
  <si>
    <t>_0201</t>
  </si>
  <si>
    <t>Bárány Tibor, Gáspár Zsuzsa, Margócsy István, Reich Orsolya, Vér Ádám (szerk.):</t>
  </si>
  <si>
    <t>A megértés, mint hivatás - Erdélyi Ágnes köszöntő kötet</t>
  </si>
  <si>
    <t>_0203</t>
  </si>
  <si>
    <t>Ambrus Gergely</t>
  </si>
  <si>
    <t xml:space="preserve"> Tudományos elmefilozófia</t>
  </si>
  <si>
    <t>_0204</t>
  </si>
  <si>
    <t>Apel Karl-Otto</t>
  </si>
  <si>
    <t xml:space="preserve"> A transzcendentálpragmatikai diskurzuselmélet</t>
  </si>
  <si>
    <t>_0205</t>
  </si>
  <si>
    <t>Arisztotelész</t>
  </si>
  <si>
    <t xml:space="preserve"> A természet. Physica</t>
  </si>
  <si>
    <t>_0206</t>
  </si>
  <si>
    <t>Aron Raymond</t>
  </si>
  <si>
    <t xml:space="preserve"> Demokrácia és totalitarizmus</t>
  </si>
  <si>
    <t>_0208</t>
  </si>
  <si>
    <t>Bács - Forrai - Molnár - Tőzsér (szerk.)</t>
  </si>
  <si>
    <t xml:space="preserve"> Perlekedő rokonok:  Analitikus filozófia és fenomenológia.</t>
  </si>
  <si>
    <t>_0209</t>
  </si>
  <si>
    <t>Bakos Gergely OSB (szerk.)</t>
  </si>
  <si>
    <t xml:space="preserve"> Korunk iránytűje. A Caritas in Veritate kezdetű enciklika jelentőségéről</t>
  </si>
  <si>
    <t>_0210</t>
  </si>
  <si>
    <t xml:space="preserve"> Teória és praxis között, avagy a filozófia gyakorlati arcáról</t>
  </si>
  <si>
    <t>_0211</t>
  </si>
  <si>
    <t>Balogh Brigitta</t>
  </si>
  <si>
    <t xml:space="preserve"> A szellem és az idő</t>
  </si>
  <si>
    <t>_0212</t>
  </si>
  <si>
    <t>Bartha-Kovács Katalin és Szécsényi Endre (szerk.)</t>
  </si>
  <si>
    <t xml:space="preserve"> A tudom-is-én-micsoda fogalma. Források és tanulmányok</t>
  </si>
  <si>
    <t>_0213</t>
  </si>
  <si>
    <t>Bartók Imre</t>
  </si>
  <si>
    <t xml:space="preserve"> A hamis Alef – Kezdet és temporalitás (Heidegger)</t>
  </si>
  <si>
    <t>_0214</t>
  </si>
  <si>
    <t>Bence György</t>
  </si>
  <si>
    <t xml:space="preserve"> Politikai-filozófiai tanulmányok 1990–2006</t>
  </si>
  <si>
    <t>_0215</t>
  </si>
  <si>
    <t>Bergson Henri</t>
  </si>
  <si>
    <t xml:space="preserve"> A gondolkodás és a mozgó</t>
  </si>
  <si>
    <t>_0216</t>
  </si>
  <si>
    <t>Berkeley George</t>
  </si>
  <si>
    <t xml:space="preserve"> Tanulmányok az emberi megismerés alapelveiről és más írások</t>
  </si>
  <si>
    <t>_0217</t>
  </si>
  <si>
    <t>Binzberger Viktor, Fehér Márta, Zemplén Gábor (szerk.)</t>
  </si>
  <si>
    <t xml:space="preserve"> Kuhn és a relativizmus</t>
  </si>
  <si>
    <t>_0218</t>
  </si>
  <si>
    <t>Boda László</t>
  </si>
  <si>
    <t xml:space="preserve"> A programozott evolúció I. Az ember megjelenéséig</t>
  </si>
  <si>
    <t>_0219</t>
  </si>
  <si>
    <t xml:space="preserve"> Programozott evolúció és teremtés – Az ember származása és kiemelt szerepe a világban</t>
  </si>
  <si>
    <t>_0220</t>
  </si>
  <si>
    <t>Boda Mihály</t>
  </si>
  <si>
    <t xml:space="preserve"> Az emberi tudatosság. Filozófiai problémák és megoldások</t>
  </si>
  <si>
    <t>_0221</t>
  </si>
  <si>
    <t>Bokody Péter, Szegedi Nóra és Kenéz László (szerk.)</t>
  </si>
  <si>
    <t xml:space="preserve"> Transzcendencia és megértés. Lévinas etikája és metafizikája</t>
  </si>
  <si>
    <t>_0222</t>
  </si>
  <si>
    <t>Boros Gábor (szerk.)</t>
  </si>
  <si>
    <t xml:space="preserve"> A hetvenes évek filozófiai lehetőségei és valósága</t>
  </si>
  <si>
    <t>_0223</t>
  </si>
  <si>
    <t>Boros Gábor, Szalai Judit(szerk.)</t>
  </si>
  <si>
    <t xml:space="preserve"> Az érzelmek filozófiája. Szisztematikus-történeti tanulmányok</t>
  </si>
  <si>
    <t>_0224</t>
  </si>
  <si>
    <t>Böcskei Balázs (szerk.)</t>
  </si>
  <si>
    <t xml:space="preserve"> A forradalom végtelensége</t>
  </si>
  <si>
    <t>_0225</t>
  </si>
  <si>
    <t>Condrau Gion</t>
  </si>
  <si>
    <t xml:space="preserve"> Freud és Heidegger. Daseinanalitikus neurózistan és pszichoterápia</t>
  </si>
  <si>
    <t>_0226</t>
  </si>
  <si>
    <t>Cusanus Nicolaus</t>
  </si>
  <si>
    <t xml:space="preserve"> De pace fidei. A vallásbékéről</t>
  </si>
  <si>
    <t>_0227</t>
  </si>
  <si>
    <t>Czakó István</t>
  </si>
  <si>
    <t xml:space="preserve"> Hit és egzisztencia - Tanulmány Soren Kierkegaard hitfelfogásáról</t>
  </si>
  <si>
    <t>_0228</t>
  </si>
  <si>
    <t xml:space="preserve"> Paradoxes of Existence. Contributions to Kierkegaard Research</t>
  </si>
  <si>
    <t>_0229</t>
  </si>
  <si>
    <t>Czeglédi András</t>
  </si>
  <si>
    <t xml:space="preserve"> Fjodor Mihajlovics Niëtzky – Széljegyzetek a kései Nietzsche nihilizmus- és esztétikumképéhez</t>
  </si>
  <si>
    <t>_0230</t>
  </si>
  <si>
    <t>Czétány György</t>
  </si>
  <si>
    <t xml:space="preserve"> A transzcendentális illúzió keletkezése és története</t>
  </si>
  <si>
    <t>_0231</t>
  </si>
  <si>
    <t>Csejtei Dezső - Juhász Anikó</t>
  </si>
  <si>
    <t xml:space="preserve"> A halál filozófiai megszólításai</t>
  </si>
  <si>
    <t>_0233</t>
  </si>
  <si>
    <t>Cseke Ákos</t>
  </si>
  <si>
    <t xml:space="preserve"> A szabadság</t>
  </si>
  <si>
    <t>_0232</t>
  </si>
  <si>
    <t xml:space="preserve"> Igaz szó igaz élet</t>
  </si>
  <si>
    <t>_0234</t>
  </si>
  <si>
    <t>Csikós Ella</t>
  </si>
  <si>
    <t xml:space="preserve"> Élő gondolkodás - A folyamatfilozófia klasszikusai:  Hegel és Whitehead</t>
  </si>
  <si>
    <t>_0235</t>
  </si>
  <si>
    <t>Csörgő Zoltán, Szabados Levente (szerk.)</t>
  </si>
  <si>
    <t xml:space="preserve"> Szubjektív tudás - objektív tudomány</t>
  </si>
  <si>
    <t>_0236</t>
  </si>
  <si>
    <t>Deczki Sarolta</t>
  </si>
  <si>
    <t xml:space="preserve"> Meredek sziklagerincen. Husserl és a válság problémája</t>
  </si>
  <si>
    <t>_0237</t>
  </si>
  <si>
    <t>Deleuze Gilles – Claire Parnet</t>
  </si>
  <si>
    <t xml:space="preserve"> Párbeszédek</t>
  </si>
  <si>
    <t>_0238</t>
  </si>
  <si>
    <t>Derrida Jacques</t>
  </si>
  <si>
    <t xml:space="preserve"> Bitangok</t>
  </si>
  <si>
    <t>_0239</t>
  </si>
  <si>
    <t xml:space="preserve"> Törvényerő</t>
  </si>
  <si>
    <t>_0241</t>
  </si>
  <si>
    <t>Descartes René</t>
  </si>
  <si>
    <t xml:space="preserve"> A lélek szenvedélyei és más írások</t>
  </si>
  <si>
    <t>_0242</t>
  </si>
  <si>
    <t>Descombes Vincent</t>
  </si>
  <si>
    <t xml:space="preserve"> Az ugyanaz és a más</t>
  </si>
  <si>
    <t>_0243</t>
  </si>
  <si>
    <t>Diderot Denis</t>
  </si>
  <si>
    <t xml:space="preserve"> Esztétika, filozófia, politika</t>
  </si>
  <si>
    <t>_0244</t>
  </si>
  <si>
    <t>Farkas Szilárd</t>
  </si>
  <si>
    <t xml:space="preserve"> Nihilizmustól a krizeológiáig. Válságértelmezések a XX. századi magyar filozófiában</t>
  </si>
  <si>
    <t>_0245</t>
  </si>
  <si>
    <t>Fehér M. István, Lengyel Zsuzsanna Mariann, Nyírő Miklós, Olay Csaba (szerk.)</t>
  </si>
  <si>
    <t xml:space="preserve"> „Szót érteni egymással”</t>
  </si>
  <si>
    <t>_0246</t>
  </si>
  <si>
    <t>Fehér M. István</t>
  </si>
  <si>
    <t xml:space="preserve"> Hermeneutikai tanulmányok I.</t>
  </si>
  <si>
    <t>_0247</t>
  </si>
  <si>
    <t>Fehér M. kutatócsop.</t>
  </si>
  <si>
    <t xml:space="preserve"> Vitában egymással</t>
  </si>
  <si>
    <t>_0248</t>
  </si>
  <si>
    <t>Fehér Márta - Láng Benedek - Zemplén Gábor</t>
  </si>
  <si>
    <t xml:space="preserve"> Tudás az időben</t>
  </si>
  <si>
    <t>_0249</t>
  </si>
  <si>
    <t>Fehér Márta, Zemplén Gábor, Binzberger Viktor (szerk.)</t>
  </si>
  <si>
    <t xml:space="preserve"> Értelem és történelem</t>
  </si>
  <si>
    <t>_0250</t>
  </si>
  <si>
    <t>Ferenc Hörcher, Béla Mester, Zoltán Turgonyi</t>
  </si>
  <si>
    <t xml:space="preserve"> Is a universal morality possible?</t>
  </si>
  <si>
    <t>_0252</t>
  </si>
  <si>
    <t>Forrai Gábor (szerk.)</t>
  </si>
  <si>
    <t xml:space="preserve"> Filozófiai intuíciók – filozófusok az intuícióról</t>
  </si>
  <si>
    <t>_0253</t>
  </si>
  <si>
    <t>Forrai Gábor</t>
  </si>
  <si>
    <t xml:space="preserve"> A jelek tana - Locke ismeretelmélete és metafizikája</t>
  </si>
  <si>
    <t>_0254</t>
  </si>
  <si>
    <t xml:space="preserve"> Kortárs nézetek a tudásról</t>
  </si>
  <si>
    <t>_0255</t>
  </si>
  <si>
    <t>Foucault Michel</t>
  </si>
  <si>
    <t xml:space="preserve"> A rendellenesek</t>
  </si>
  <si>
    <t>_0256</t>
  </si>
  <si>
    <t>Frenyó Zoltán (szerk.)</t>
  </si>
  <si>
    <t xml:space="preserve"> Ervin Gábor emlékezete. Ervin Gábor bölcseleti munkái</t>
  </si>
  <si>
    <t>_0258</t>
  </si>
  <si>
    <t>Frenyó Zoltán, Turgonyi Zoltán</t>
  </si>
  <si>
    <t xml:space="preserve"> Jacques Maritain</t>
  </si>
  <si>
    <t>_0259</t>
  </si>
  <si>
    <t>Gábor György</t>
  </si>
  <si>
    <t xml:space="preserve"> Múltba zárt jelen</t>
  </si>
  <si>
    <t>_0260</t>
  </si>
  <si>
    <t xml:space="preserve">Gasset José Ortega y </t>
  </si>
  <si>
    <t xml:space="preserve"> Elmélkedések Európáról</t>
  </si>
  <si>
    <t>_0261</t>
  </si>
  <si>
    <t>Girard Francis</t>
  </si>
  <si>
    <t xml:space="preserve"> Mi rejtve volt</t>
  </si>
  <si>
    <t>_0262</t>
  </si>
  <si>
    <t>Göran Therborn</t>
  </si>
  <si>
    <t xml:space="preserve"> A marxizmustól a posztmarxizmus felé?</t>
  </si>
  <si>
    <t>_0263</t>
  </si>
  <si>
    <t>Guizot François</t>
  </si>
  <si>
    <t xml:space="preserve"> Válogatott politikai írások</t>
  </si>
  <si>
    <t>_0264</t>
  </si>
  <si>
    <t>Gyenge Zoltán (szerk.)</t>
  </si>
  <si>
    <t xml:space="preserve"> Soren Kierkegaard 1813–2013</t>
  </si>
  <si>
    <t>_0265</t>
  </si>
  <si>
    <t>Hamvas Endre</t>
  </si>
  <si>
    <t xml:space="preserve"> Szent Ágoston: Írások a kegyelemről és az eleve elrendelésről</t>
  </si>
  <si>
    <t>_0266</t>
  </si>
  <si>
    <t>Hankovszky Tamás</t>
  </si>
  <si>
    <t xml:space="preserve"> Fichte korai tudománytanának alapgondolata – Antropológia és transzcendentális filozófia</t>
  </si>
  <si>
    <t>_0267</t>
  </si>
  <si>
    <t xml:space="preserve">Helting Holger </t>
  </si>
  <si>
    <t xml:space="preserve"> Bevezetés a pszichoterápiás daseinanalízis filozófiai dimenzióiba</t>
  </si>
  <si>
    <t>_0268</t>
  </si>
  <si>
    <t>Honneth Axel</t>
  </si>
  <si>
    <t xml:space="preserve"> Harc az elismerésért - A társadalmi konfliktusok morális grammatikája</t>
  </si>
  <si>
    <t>_0269</t>
  </si>
  <si>
    <t>Horkay-Hörcher Ferenc (szerk.)</t>
  </si>
  <si>
    <t xml:space="preserve"> Fejezetek a kora modern esztétikai gondolkodás történetéből (1450–1650)</t>
  </si>
  <si>
    <t>_0270</t>
  </si>
  <si>
    <t>Horkay-Hörcher Ferenc</t>
  </si>
  <si>
    <t xml:space="preserve"> A bölcsészettudományok hasznáról. Of the Usefulness of the Humanities</t>
  </si>
  <si>
    <t>_0271</t>
  </si>
  <si>
    <t>Horváth Orsolya</t>
  </si>
  <si>
    <t xml:space="preserve"> Az öneszmélés fenomenológiája</t>
  </si>
  <si>
    <t>_0272</t>
  </si>
  <si>
    <t>Isztray Simon</t>
  </si>
  <si>
    <t xml:space="preserve"> Nietzsche. Filozófus születése a tragédia szelleméből</t>
  </si>
  <si>
    <t>_0273</t>
  </si>
  <si>
    <t>Kassner Rudolf</t>
  </si>
  <si>
    <t xml:space="preserve"> Az emberi nagyság elemei. Két esszé</t>
  </si>
  <si>
    <t>_0274</t>
  </si>
  <si>
    <t>Kenéz László - Rónai András (szerk.)</t>
  </si>
  <si>
    <t xml:space="preserve"> A dolgok (és a szavak)</t>
  </si>
  <si>
    <t>_0275</t>
  </si>
  <si>
    <t>Kicsák Lóránt</t>
  </si>
  <si>
    <t xml:space="preserve"> Aporiák próbatétele</t>
  </si>
  <si>
    <t>_0276</t>
  </si>
  <si>
    <t>Kierkegaard Soren Aabye</t>
  </si>
  <si>
    <t xml:space="preserve"> Az ismétlés</t>
  </si>
  <si>
    <t>_0277</t>
  </si>
  <si>
    <t>Kierkegaard Soren</t>
  </si>
  <si>
    <t xml:space="preserve"> A jelenkor kritikája</t>
  </si>
  <si>
    <t>_0278</t>
  </si>
  <si>
    <t>Kisbali László</t>
  </si>
  <si>
    <t xml:space="preserve"> Sapere aude!</t>
  </si>
  <si>
    <t>_0279</t>
  </si>
  <si>
    <t>Kiss Lajos András</t>
  </si>
  <si>
    <t xml:space="preserve"> Teóriák hálójában</t>
  </si>
  <si>
    <t>_0280</t>
  </si>
  <si>
    <t>Kiss Szabolcs</t>
  </si>
  <si>
    <t xml:space="preserve"> A logika egyedfejlődése és szociológiája</t>
  </si>
  <si>
    <t>_0281</t>
  </si>
  <si>
    <t>Kiss Viktor</t>
  </si>
  <si>
    <t xml:space="preserve"> Marx &amp; ideológia</t>
  </si>
  <si>
    <t>_0282</t>
  </si>
  <si>
    <t>Kiss-Koczka Éva</t>
  </si>
  <si>
    <t xml:space="preserve"> Az erény mestersége – David Hume morálfilozófiájának két olvasata</t>
  </si>
  <si>
    <t>_0283</t>
  </si>
  <si>
    <t>Kocziszky Éva</t>
  </si>
  <si>
    <t xml:space="preserve"> Antifilozófusok - Huszonöt időszerű kérdése a kereszténységhez</t>
  </si>
  <si>
    <t>_0286</t>
  </si>
  <si>
    <t>Kocsis László</t>
  </si>
  <si>
    <t xml:space="preserve"> Az igazságalkotás metafizikája</t>
  </si>
  <si>
    <t>_0287</t>
  </si>
  <si>
    <t>Koyré Alexandre</t>
  </si>
  <si>
    <t xml:space="preserve"> Tanulmányok a tudományos gondolkodás történetéről</t>
  </si>
  <si>
    <t>_0288</t>
  </si>
  <si>
    <t>Krausz Tamás (szek.)</t>
  </si>
  <si>
    <t xml:space="preserve"> Lukács György és szocialista alternatíva.Tanulmányok és dokumentumok.</t>
  </si>
  <si>
    <t>_0289</t>
  </si>
  <si>
    <t>Krokovay Zsolt (szerk.)</t>
  </si>
  <si>
    <t xml:space="preserve"> Felelősség</t>
  </si>
  <si>
    <t>_0290</t>
  </si>
  <si>
    <t>Kutrovácz Gábor, Láng Benedek, Zemplén Gábor (szerk.)</t>
  </si>
  <si>
    <t xml:space="preserve"> Határmunkálatok a tudományban</t>
  </si>
  <si>
    <t>_0291</t>
  </si>
  <si>
    <t>Leibniz G. W.</t>
  </si>
  <si>
    <t xml:space="preserve"> Újabb értekezések az emberi értelemről</t>
  </si>
  <si>
    <t>_0292</t>
  </si>
  <si>
    <t>Lengyel Zsuzsanna Mariann és Jani Anna(szerk.)</t>
  </si>
  <si>
    <t xml:space="preserve"> A másik igazsága. Ünnepi kötet Fehér M. István tiszteletére</t>
  </si>
  <si>
    <t>_0293</t>
  </si>
  <si>
    <t>Lengyel Zsuzsanna Mariann</t>
  </si>
  <si>
    <t xml:space="preserve"> A végesség hermeneutikája.Az idő mint filozófiai probléma Martin Heidegger gondolkodásában</t>
  </si>
  <si>
    <t>_0296</t>
  </si>
  <si>
    <t>Mairet Gérard</t>
  </si>
  <si>
    <t xml:space="preserve"> Mundus est fabula.Filozófiai vizsgálódás a szabadságról korunkban</t>
  </si>
  <si>
    <t>_0297</t>
  </si>
  <si>
    <t>Malebranche Nicolas</t>
  </si>
  <si>
    <t xml:space="preserve"> Beszélgetések a metafizikáról és a vallásról</t>
  </si>
  <si>
    <t>_0298</t>
  </si>
  <si>
    <t>Marcel Gabriel</t>
  </si>
  <si>
    <t xml:space="preserve"> Metafizikai napló</t>
  </si>
  <si>
    <t>_0300</t>
  </si>
  <si>
    <t>Marosán Bence Péter (szerk.)</t>
  </si>
  <si>
    <t xml:space="preserve"> Elidegenedés és emancipáció. Karl Marx és a Gazdasági-filozófiai kéziratok</t>
  </si>
  <si>
    <t>_0304</t>
  </si>
  <si>
    <t>Márton Miklós-Molnár Gábor-Tőzsér János (szerk.)</t>
  </si>
  <si>
    <t xml:space="preserve"> Realizmus, magyarázat, megértés</t>
  </si>
  <si>
    <t>_0305</t>
  </si>
  <si>
    <t>Merleau-Ponty Maurice</t>
  </si>
  <si>
    <t xml:space="preserve"> A látható és a láthatatlan</t>
  </si>
  <si>
    <t>_0306</t>
  </si>
  <si>
    <t xml:space="preserve"> Az észlelés fenomenológiája</t>
  </si>
  <si>
    <t>_0308</t>
  </si>
  <si>
    <t>Mészáros István</t>
  </si>
  <si>
    <t xml:space="preserve"> A tőkén túl - Közelítések az átmenet elméletéhez - II. rész:  A szocialista kritika történelmi öröksége</t>
  </si>
  <si>
    <t>_0307</t>
  </si>
  <si>
    <t xml:space="preserve"> A tőkén túl - Közelítések az átmenet elméletéhez I.rész Az ellenőrizhetetlenség árnya</t>
  </si>
  <si>
    <t>_0311</t>
  </si>
  <si>
    <t>Mezei Balázs</t>
  </si>
  <si>
    <t xml:space="preserve"> Vallás és hagyomány</t>
  </si>
  <si>
    <t>_0312</t>
  </si>
  <si>
    <t>Mirandola Giovanni Pico della</t>
  </si>
  <si>
    <t xml:space="preserve"> Benivieni neoplatonista versének kommentárja</t>
  </si>
  <si>
    <t>_0314</t>
  </si>
  <si>
    <t>Nemes Z Márió</t>
  </si>
  <si>
    <t xml:space="preserve"> Képalkotó elevenség</t>
  </si>
  <si>
    <t>_0315</t>
  </si>
  <si>
    <t>Nyírő Miklós (szerk.)</t>
  </si>
  <si>
    <t xml:space="preserve"> Filozófia a globalizáció árnyékában:  Richard Rorty</t>
  </si>
  <si>
    <t>_0316</t>
  </si>
  <si>
    <t xml:space="preserve"> Hans-Georg Gadamer - egy 20. századi humanista</t>
  </si>
  <si>
    <t>_0317</t>
  </si>
  <si>
    <t>Nyírő Miklós(szerk.)</t>
  </si>
  <si>
    <t xml:space="preserve"> Filozófia mint de(kon)strukció:  Heidegger és Derrida</t>
  </si>
  <si>
    <t>_0319</t>
  </si>
  <si>
    <t>Nyírő Miklós</t>
  </si>
  <si>
    <t xml:space="preserve"> Nyelviség és nyelvfeledtség – Hans-Georg Gadamer és a nyelv hermeneutikája</t>
  </si>
  <si>
    <t>_0320</t>
  </si>
  <si>
    <t>Olay Csaba - Ullmann Tamás</t>
  </si>
  <si>
    <t xml:space="preserve"> Kontinentális filozófia a XX. században</t>
  </si>
  <si>
    <t>_0321</t>
  </si>
  <si>
    <t>Olay Csaba - Weiss János</t>
  </si>
  <si>
    <t xml:space="preserve"> A művészettől a tömegkultúráig</t>
  </si>
  <si>
    <t>_0323</t>
  </si>
  <si>
    <t>Olay Csaba</t>
  </si>
  <si>
    <t xml:space="preserve"> Hannah Arendt politikai egzisztencializmusa</t>
  </si>
  <si>
    <t>_0324</t>
  </si>
  <si>
    <t>Paksi Dániel és Kertész Gergely(szerk.)</t>
  </si>
  <si>
    <t xml:space="preserve"> Emergens evolúció</t>
  </si>
  <si>
    <t>Paksi Dániel</t>
  </si>
  <si>
    <t>_0325</t>
  </si>
  <si>
    <t xml:space="preserve"> Személyes valóság</t>
  </si>
  <si>
    <t>_0327</t>
  </si>
  <si>
    <t>Pavlovits Tamás(szerk.)</t>
  </si>
  <si>
    <t xml:space="preserve"> Logika és gondolkodás .A megismerés elméletei a korai felvilágosodásban</t>
  </si>
  <si>
    <t>_0328</t>
  </si>
  <si>
    <t>Pető Zoltán</t>
  </si>
  <si>
    <t xml:space="preserve"> Edmund Burke és kritikusai</t>
  </si>
  <si>
    <t>_0329</t>
  </si>
  <si>
    <t>Pogonyi Szabolcs</t>
  </si>
  <si>
    <t xml:space="preserve"> Közösségelvűség és politikai liberlaizmus.Charles Taylor liberalizmuskritikája</t>
  </si>
  <si>
    <t>_0330</t>
  </si>
  <si>
    <t>Popovics Zoltán</t>
  </si>
  <si>
    <t xml:space="preserve"> A prezentifikáció fenomenológiája</t>
  </si>
  <si>
    <t>_0331</t>
  </si>
  <si>
    <t>Quante Michael</t>
  </si>
  <si>
    <t xml:space="preserve"> A cselekvés hegeli koncepciója</t>
  </si>
  <si>
    <t>_0333</t>
  </si>
  <si>
    <t>Rawls John</t>
  </si>
  <si>
    <t xml:space="preserve"> A népek joga</t>
  </si>
  <si>
    <t>_0336</t>
  </si>
  <si>
    <t>Rorty Richard</t>
  </si>
  <si>
    <t xml:space="preserve"> Filozófia és társadalmi remény</t>
  </si>
  <si>
    <t>_0337</t>
  </si>
  <si>
    <t>Sajó Sándor</t>
  </si>
  <si>
    <t xml:space="preserve"> Majdnem minden. A megtört totalitás dialektikája</t>
  </si>
  <si>
    <t>_0338</t>
  </si>
  <si>
    <t>Sárkány Péter</t>
  </si>
  <si>
    <t xml:space="preserve"> A filozófia mint praxis</t>
  </si>
  <si>
    <t>_0339</t>
  </si>
  <si>
    <t xml:space="preserve"> A lét és a semmi</t>
  </si>
  <si>
    <t>_0340</t>
  </si>
  <si>
    <t>Schenck Kenneth</t>
  </si>
  <si>
    <t xml:space="preserve"> Bevezetés Philón életéhez és írásaihoz</t>
  </si>
  <si>
    <t>_0341</t>
  </si>
  <si>
    <t>Schmal Dániel (szerk.)</t>
  </si>
  <si>
    <t xml:space="preserve"> Lélek és elme a kartezianizmus korában. Elmefilozófiai szöveggyűjtemény</t>
  </si>
  <si>
    <t>_0342</t>
  </si>
  <si>
    <t>Schmal Dániel</t>
  </si>
  <si>
    <t xml:space="preserve"> Természettörvény és gondviselés. Egy filozófiai és teológiai kérdés a korai felvilágosodásban</t>
  </si>
  <si>
    <t>_0343</t>
  </si>
  <si>
    <t>Schmidt-Biggemann W.</t>
  </si>
  <si>
    <t xml:space="preserve"> Teodícea és tények. A német felvilágosodás filozófiai profilja</t>
  </si>
  <si>
    <t>_0344</t>
  </si>
  <si>
    <t>Schopenhauer Arthur</t>
  </si>
  <si>
    <t xml:space="preserve"> Az alap tételéről – Kant filozófiájának kritikája</t>
  </si>
  <si>
    <t>_0345</t>
  </si>
  <si>
    <t>Schwendtner Tibor - Margitay Tihamér (szerk.)</t>
  </si>
  <si>
    <t xml:space="preserve"> Tudomány megértő módban</t>
  </si>
  <si>
    <t>_0349</t>
  </si>
  <si>
    <t>Schwendtner Tibor</t>
  </si>
  <si>
    <t xml:space="preserve"> Eljövendő múlt. Genealógia Nietzschénél, Husserlnél és Heideggernél</t>
  </si>
  <si>
    <t>_0348</t>
  </si>
  <si>
    <t xml:space="preserve"> Husserl és Heidegger. Egy filozófiai összecsapás analízise</t>
  </si>
  <si>
    <t>_0347</t>
  </si>
  <si>
    <t xml:space="preserve"> Szabadság és fenomenológia - Tanulmányok Husserlről és Heideggerről</t>
  </si>
  <si>
    <t>_0353</t>
  </si>
  <si>
    <t>Simon József</t>
  </si>
  <si>
    <t xml:space="preserve"> Létre nyílt lehetőség. Ismeretelmélet és metafizika Aquinói Szent Tamás és Duns Scotus filozófiájában</t>
  </si>
  <si>
    <t>_0355</t>
  </si>
  <si>
    <t>Susszer Zoltán László (szerk.)</t>
  </si>
  <si>
    <t xml:space="preserve"> Útkereső értelmezések - A Magyar Filozófiai Társaság Hermeneutikai Szakosztályának munkáiból</t>
  </si>
  <si>
    <t>_0356</t>
  </si>
  <si>
    <t>Szabó Zsigmond</t>
  </si>
  <si>
    <t xml:space="preserve"> A keletkezés ontológiája - a végtelen fenomenológiája</t>
  </si>
  <si>
    <t>_0357</t>
  </si>
  <si>
    <t xml:space="preserve"> A libidó antinómiája(és más paradoxonok)</t>
  </si>
  <si>
    <t>_0359</t>
  </si>
  <si>
    <t>Szalai Judit</t>
  </si>
  <si>
    <t xml:space="preserve"> Kortárs angolszász érzelemfilozófia</t>
  </si>
  <si>
    <t>_0360</t>
  </si>
  <si>
    <t>Szalai Miklós</t>
  </si>
  <si>
    <t xml:space="preserve"> Létezik-e Isten? - Ateista érvek a mai angolszász filozófiában</t>
  </si>
  <si>
    <t>_0361</t>
  </si>
  <si>
    <t>Szántó Veronika</t>
  </si>
  <si>
    <t xml:space="preserve"> A szabadság iskolája</t>
  </si>
  <si>
    <t>_0362</t>
  </si>
  <si>
    <t>Szécsényi Endre</t>
  </si>
  <si>
    <t xml:space="preserve"> Szépség és szabadság -Eszmetörténeti tanulmányok</t>
  </si>
  <si>
    <t>_0363</t>
  </si>
  <si>
    <t>Szegedi Nóra</t>
  </si>
  <si>
    <t xml:space="preserve"> A magában való dolog fenomenológiája</t>
  </si>
  <si>
    <t>_0366</t>
  </si>
  <si>
    <t>Szoboszlai-Kiss Katalin</t>
  </si>
  <si>
    <t xml:space="preserve"> Poszeidóniosz. Töredékek és kommentár.</t>
  </si>
  <si>
    <t>_0367</t>
  </si>
  <si>
    <t>Szombath Attila-Petres Lúcia (szerk.)</t>
  </si>
  <si>
    <t xml:space="preserve"> Metafizika Magyarországon?</t>
  </si>
  <si>
    <t>_0369</t>
  </si>
  <si>
    <t>Takács Ádám</t>
  </si>
  <si>
    <t xml:space="preserve"> A fenomén és tárgya – Fenomenológiai értelmezések és elemzések</t>
  </si>
  <si>
    <t>_0370</t>
  </si>
  <si>
    <t>Tallár Ferenc</t>
  </si>
  <si>
    <t xml:space="preserve"> ...és... - Struktúra és communitas</t>
  </si>
  <si>
    <t>_0371</t>
  </si>
  <si>
    <t>Tanács János</t>
  </si>
  <si>
    <t xml:space="preserve"> Ami hiányzik Bolyai Appendixéből - és ami nem</t>
  </si>
  <si>
    <t>_0372</t>
  </si>
  <si>
    <t>Tánczos Péter, Varga Rita (szerk.)</t>
  </si>
  <si>
    <t xml:space="preserve"> Tanulmányok Immanuel Kant aktualitásáról</t>
  </si>
  <si>
    <t>_0373</t>
  </si>
  <si>
    <t>Tóth Gábor</t>
  </si>
  <si>
    <t xml:space="preserve"> A tömeg- és az elitművészet...</t>
  </si>
  <si>
    <t>_0374</t>
  </si>
  <si>
    <t>Török Csaba</t>
  </si>
  <si>
    <t xml:space="preserve"> Bölcsességkeresők</t>
  </si>
  <si>
    <t>_0375</t>
  </si>
  <si>
    <t>Török-Szabó Balázs</t>
  </si>
  <si>
    <t xml:space="preserve"> A teória</t>
  </si>
  <si>
    <t>_0377</t>
  </si>
  <si>
    <t>Ujváry Márta</t>
  </si>
  <si>
    <t xml:space="preserve"> Metafizikai dilemmák. Szubsztanciák, trópusok, változás</t>
  </si>
  <si>
    <t>_0378</t>
  </si>
  <si>
    <t>Ullmann Tamás és Váradi Péter(szerk.)</t>
  </si>
  <si>
    <t xml:space="preserve"> Sartre és Merleau-Ponty. A francia fenomenológia klasszikus korszaka</t>
  </si>
  <si>
    <t>_0379</t>
  </si>
  <si>
    <t>Ullmann Tamás</t>
  </si>
  <si>
    <t xml:space="preserve"> A láthatatlan forma. Sematizmus és intencionalitás</t>
  </si>
  <si>
    <t>_0380</t>
  </si>
  <si>
    <t xml:space="preserve"> Az értelem dimenziói</t>
  </si>
  <si>
    <t>_0381</t>
  </si>
  <si>
    <t>Utasi Krisztina</t>
  </si>
  <si>
    <t xml:space="preserve"> Ész és kinyilatkoztatás között</t>
  </si>
  <si>
    <t>_0383</t>
  </si>
  <si>
    <t>Varga Péter András- Zuh Deodáth (szerk.)</t>
  </si>
  <si>
    <t xml:space="preserve"> Az új Husserl. Szemelvények az életmű ismeretlen fejezeteiből</t>
  </si>
  <si>
    <t>_0382</t>
  </si>
  <si>
    <t xml:space="preserve"> Husserl és a Logikai vizsgálódások</t>
  </si>
  <si>
    <t>_0384</t>
  </si>
  <si>
    <t>Varga Péter András</t>
  </si>
  <si>
    <t xml:space="preserve"> A fenomenológia keletkezése</t>
  </si>
  <si>
    <t>_0386</t>
  </si>
  <si>
    <t>Vermes Katalin</t>
  </si>
  <si>
    <t xml:space="preserve"> A test éthosza. A test és a másik tapasztalatának összefüggése Merleau-Ponty és Lévinas filozófiájában</t>
  </si>
  <si>
    <t>_0388</t>
  </si>
  <si>
    <t>Welsch Wolfgang</t>
  </si>
  <si>
    <t xml:space="preserve"> Esztétikai gondolkodás</t>
  </si>
  <si>
    <t>_0389</t>
  </si>
  <si>
    <t>Zuh Deodáth</t>
  </si>
  <si>
    <t xml:space="preserve"> Edmund Husserl ismeretfilozófiája</t>
  </si>
  <si>
    <t>_0390</t>
  </si>
  <si>
    <t>Zvolenszky Zsófia (szerk.)</t>
  </si>
  <si>
    <t xml:space="preserve"> Nehogy érvgyűlölők legyünk</t>
  </si>
  <si>
    <t>_0251</t>
  </si>
  <si>
    <t>Fichte Johann Gottlieb</t>
  </si>
  <si>
    <t xml:space="preserve"> Minden kinyilatkoztatás kritikájának kísérlete</t>
  </si>
  <si>
    <t>_0303</t>
  </si>
  <si>
    <t>Márton Miklós - Tőzsér János</t>
  </si>
  <si>
    <t xml:space="preserve"> Más elmék</t>
  </si>
  <si>
    <t>_0299</t>
  </si>
  <si>
    <t>Marion Jean-Luc</t>
  </si>
  <si>
    <t xml:space="preserve"> Az erotikus fenomén – Hat meditáció</t>
  </si>
  <si>
    <t>_0351</t>
  </si>
  <si>
    <t xml:space="preserve"> Heidegger és a nemzetiszocializmus</t>
  </si>
  <si>
    <t>_0385</t>
  </si>
  <si>
    <t>Veres Ildikó</t>
  </si>
  <si>
    <t xml:space="preserve"> Hiány és létteljesség</t>
  </si>
  <si>
    <t>_0387</t>
  </si>
  <si>
    <t>Vető Miklós</t>
  </si>
  <si>
    <t xml:space="preserve"> Simone Weil vallásos metafizikája</t>
  </si>
  <si>
    <t>_0400</t>
  </si>
  <si>
    <t>Antal Attila</t>
  </si>
  <si>
    <t xml:space="preserve"> Ökopolitika, ideológia, baloldal</t>
  </si>
  <si>
    <t>Tudomány / Humánökológia</t>
  </si>
  <si>
    <t>_0401</t>
  </si>
  <si>
    <t>Antal Z. László</t>
  </si>
  <si>
    <t xml:space="preserve"> Klímaparadoxonok</t>
  </si>
  <si>
    <t>_0403</t>
  </si>
  <si>
    <t>Borsos Balázs</t>
  </si>
  <si>
    <t xml:space="preserve"> Elefánt a hídon - Gondolatok az ökológiai antropológiáról</t>
  </si>
  <si>
    <t>_0405</t>
  </si>
  <si>
    <t xml:space="preserve"> Az új gyűrűfű</t>
  </si>
  <si>
    <t>_0404</t>
  </si>
  <si>
    <t xml:space="preserve"> Azok a bizonyos könnyű léptek I.</t>
  </si>
  <si>
    <t>_0406</t>
  </si>
  <si>
    <t>Darvas Béla - Székács András (szerk.)</t>
  </si>
  <si>
    <t xml:space="preserve"> Mezőgazdasági ökotoxikológia</t>
  </si>
  <si>
    <t>_0408</t>
  </si>
  <si>
    <t>Horváth Balázs</t>
  </si>
  <si>
    <t xml:space="preserve"> Ökológiai lábnyom</t>
  </si>
  <si>
    <t>_0409</t>
  </si>
  <si>
    <t>Jakab György -  Varga Attila</t>
  </si>
  <si>
    <t xml:space="preserve"> A fenntarthatóság pedagógiája</t>
  </si>
  <si>
    <t>_0410</t>
  </si>
  <si>
    <t>Kajner Péter (szerk.)</t>
  </si>
  <si>
    <t xml:space="preserve"> Gazda(g)ságunk újrafelfedezése</t>
  </si>
  <si>
    <t>_0411</t>
  </si>
  <si>
    <t>Kiss Károly (szerk.)</t>
  </si>
  <si>
    <t xml:space="preserve"> Tiltandó támogatások. Környezetvédelmi szempontból káros támogatások a magyar gazdaságban</t>
  </si>
  <si>
    <t>_0412</t>
  </si>
  <si>
    <t>Lányi András - Jávor Benedek (szerk.)</t>
  </si>
  <si>
    <t xml:space="preserve"> Környezet és etika</t>
  </si>
  <si>
    <t>_0413</t>
  </si>
  <si>
    <t>Lányi András és Farkas Gabriella</t>
  </si>
  <si>
    <t xml:space="preserve"> Miért fenntarthatatlan, ami fenntartható?</t>
  </si>
  <si>
    <t>_0414</t>
  </si>
  <si>
    <t>Lányi András</t>
  </si>
  <si>
    <t xml:space="preserve"> A fenntartható társadalom</t>
  </si>
  <si>
    <t>_0415</t>
  </si>
  <si>
    <t xml:space="preserve"> A globalizáció folyamata</t>
  </si>
  <si>
    <t>_0416</t>
  </si>
  <si>
    <t xml:space="preserve"> Az ember fáj a földnek (Utak az ökofilozófiához)</t>
  </si>
  <si>
    <t>_0417</t>
  </si>
  <si>
    <t>Malm Andreas</t>
  </si>
  <si>
    <t xml:space="preserve"> Hamarosan túl késő lesz... - avagy a klímaváltozás árnyékában</t>
  </si>
  <si>
    <t>_0419</t>
  </si>
  <si>
    <t>Ohnsorge-Szabó László - Ungvári Gábor - Kajner Péter</t>
  </si>
  <si>
    <t xml:space="preserve"> Fenntartható EU felé (?)</t>
  </si>
  <si>
    <t>_0421</t>
  </si>
  <si>
    <t>Olajos Péter</t>
  </si>
  <si>
    <t xml:space="preserve"> Konzervatív zöldség. Politikáról, gazdaságról jövő időben</t>
  </si>
  <si>
    <t>_0423</t>
  </si>
  <si>
    <t>Pomázi István, Szabó Elemér</t>
  </si>
  <si>
    <t xml:space="preserve"> A társadalmi metabolizmus. A fejlett gazdaságok anyagáramlása</t>
  </si>
  <si>
    <t>_0424</t>
  </si>
  <si>
    <t>Rabhi Pierre</t>
  </si>
  <si>
    <t xml:space="preserve"> Hogy megmaradjon az élet</t>
  </si>
  <si>
    <t>_0425</t>
  </si>
  <si>
    <t xml:space="preserve"> Pénzt akarunk, vagy életet?</t>
  </si>
  <si>
    <t>_0426</t>
  </si>
  <si>
    <t>Scheiring Gábor és Jávor Benedek (szerk.)</t>
  </si>
  <si>
    <t xml:space="preserve"> Oikosz és Polisz - Zöld politikai filozófiai szöveggyűjtemény</t>
  </si>
  <si>
    <t>_0428</t>
  </si>
  <si>
    <t>Szász Éva</t>
  </si>
  <si>
    <t xml:space="preserve"> Xántus János írásai. A humánetika és a természetvédelem megközelítéséből</t>
  </si>
  <si>
    <t>_0429</t>
  </si>
  <si>
    <t>Takács-Sánta András (szerk.)</t>
  </si>
  <si>
    <t xml:space="preserve"> Paradigmaváltás?!</t>
  </si>
  <si>
    <t>_0430</t>
  </si>
  <si>
    <t>Takács-Sánta András</t>
  </si>
  <si>
    <t xml:space="preserve"> Bioszféra-átalakításunk nagy ugrásai</t>
  </si>
  <si>
    <t>_0431</t>
  </si>
  <si>
    <t>Vári Anna</t>
  </si>
  <si>
    <t xml:space="preserve"> Tiszta atomenergia? Radioaktív hulladékkezelés Magyarországon és külföldön</t>
  </si>
  <si>
    <t>_0420</t>
  </si>
  <si>
    <t>Ohnsorge-Szabó László</t>
  </si>
  <si>
    <t xml:space="preserve"> Ökológiai gazdaságtan és monetarizmus</t>
  </si>
  <si>
    <t>_0500</t>
  </si>
  <si>
    <t>Arday Géza</t>
  </si>
  <si>
    <t xml:space="preserve"> Ami a tankönyvekből kimaradt</t>
  </si>
  <si>
    <t>Tudomány / Irodalomtudomány</t>
  </si>
  <si>
    <t>_0501</t>
  </si>
  <si>
    <t xml:space="preserve"> Gyermektelen írók a diktatúra idején</t>
  </si>
  <si>
    <t>_0503</t>
  </si>
  <si>
    <t xml:space="preserve"> Horizontmentés</t>
  </si>
  <si>
    <t>_0505</t>
  </si>
  <si>
    <t>Balázs Péter</t>
  </si>
  <si>
    <t xml:space="preserve"> Biblia, história és bölcselet a felvilágosodás korában</t>
  </si>
  <si>
    <t>_0507</t>
  </si>
  <si>
    <t>Bartha Judit</t>
  </si>
  <si>
    <t xml:space="preserve"> A szerző árnyképe. Romantikus költőmítosz Kierkegaard és E. T. A. Hoffmann alkotásesztétikájában</t>
  </si>
  <si>
    <t>_0508</t>
  </si>
  <si>
    <t xml:space="preserve"> Paul Celan - A sérült élet poétikája</t>
  </si>
  <si>
    <t>_0511</t>
  </si>
  <si>
    <t>Borbély László</t>
  </si>
  <si>
    <t xml:space="preserve"> Tegnap is van, nem csak holnap (Arday Gézával beszélget Borbély László)</t>
  </si>
  <si>
    <t>_0513</t>
  </si>
  <si>
    <t>Csetri Lajos</t>
  </si>
  <si>
    <t xml:space="preserve"> Amathus. Válogatott tanulmányok I.</t>
  </si>
  <si>
    <t>_0514</t>
  </si>
  <si>
    <t xml:space="preserve"> Amathus. Válogatott tanulmányok II.</t>
  </si>
  <si>
    <t>_0515</t>
  </si>
  <si>
    <t>Fabiny Tibor</t>
  </si>
  <si>
    <t xml:space="preserve"> Az eljövendő árnyékai</t>
  </si>
  <si>
    <t>_0516</t>
  </si>
  <si>
    <t>Falusi Márton</t>
  </si>
  <si>
    <t xml:space="preserve"> Túl posztokon és izmusokon</t>
  </si>
  <si>
    <t>_0517</t>
  </si>
  <si>
    <t>Ferencz Győző</t>
  </si>
  <si>
    <t xml:space="preserve"> Az alany mint tárgy</t>
  </si>
  <si>
    <t>_0518</t>
  </si>
  <si>
    <t xml:space="preserve"> Körvonalak a ködben</t>
  </si>
  <si>
    <t>_0519</t>
  </si>
  <si>
    <t>Ferenczi Attila (szerk.)</t>
  </si>
  <si>
    <t xml:space="preserve"> A rejtélyes Aeneis - Aeneis-tanulmányok</t>
  </si>
  <si>
    <t>_0520</t>
  </si>
  <si>
    <t>Ferenczi Attila, Hajdu Péter</t>
  </si>
  <si>
    <t xml:space="preserve"> Közelítések a szatírához</t>
  </si>
  <si>
    <t>_0521</t>
  </si>
  <si>
    <t>Friedrich Judit</t>
  </si>
  <si>
    <t xml:space="preserve"> Good to Be 56 (Fischer)</t>
  </si>
  <si>
    <t>_0522</t>
  </si>
  <si>
    <t>Fülöp József</t>
  </si>
  <si>
    <t xml:space="preserve"> Inspirationen II</t>
  </si>
  <si>
    <t>_0524</t>
  </si>
  <si>
    <t>Gárdos Bálint - Péter Ágnes (szerk.)</t>
  </si>
  <si>
    <t xml:space="preserve"> Forradalom és retorika. Tanulmányok az angol romantikáról</t>
  </si>
  <si>
    <t>_0524a</t>
  </si>
  <si>
    <t>Gárdos Bálint,  Ágnes Péter, Natália Pikli, Máté Vince(Edited by)</t>
  </si>
  <si>
    <t xml:space="preserve"> Confrontations and interactions. Essays on cultural memory</t>
  </si>
  <si>
    <t>_0525</t>
  </si>
  <si>
    <t>Gárdos Bálint</t>
  </si>
  <si>
    <t xml:space="preserve"> Földönjáró romantikusok</t>
  </si>
  <si>
    <t>_0526</t>
  </si>
  <si>
    <t>Géher István</t>
  </si>
  <si>
    <t xml:space="preserve"> Shakespeare-olvasókönyv</t>
  </si>
  <si>
    <t>_0527</t>
  </si>
  <si>
    <t>Hajdu Péter és Kroó Katalin (szerk.)</t>
  </si>
  <si>
    <t xml:space="preserve"> Elbeszélés a 19. és 20. század fordulóján.Narratív párbeszédek</t>
  </si>
  <si>
    <t>_0528</t>
  </si>
  <si>
    <t>Hansági Ágnes – Hermann Zoltán (szerk.)</t>
  </si>
  <si>
    <t xml:space="preserve"> Jókai &amp; Jókai</t>
  </si>
  <si>
    <t>_0529</t>
  </si>
  <si>
    <t>Havasi Ágnes</t>
  </si>
  <si>
    <t xml:space="preserve"> Dosztojevszkij szentjei</t>
  </si>
  <si>
    <t>_0530</t>
  </si>
  <si>
    <t xml:space="preserve"> Varázs/szer/tár.Varázsmesei kánonok a régiségben és a romantikában</t>
  </si>
  <si>
    <t>_0531</t>
  </si>
  <si>
    <t>Horváth Csaba</t>
  </si>
  <si>
    <t xml:space="preserve"> Párhuzamok, történetek</t>
  </si>
  <si>
    <t>_0532</t>
  </si>
  <si>
    <t>Imrei Andrea</t>
  </si>
  <si>
    <t xml:space="preserve"> Álomfejtés - Julio Cortázar novelláinak szimbólumelemzése</t>
  </si>
  <si>
    <t>_0533</t>
  </si>
  <si>
    <t>Julianna Borbély</t>
  </si>
  <si>
    <t xml:space="preserve"> English language &amp; literatures in english 2014</t>
  </si>
  <si>
    <t>_0535</t>
  </si>
  <si>
    <t>Kállay G. Katalin (szerk.)</t>
  </si>
  <si>
    <t xml:space="preserve"> The Arts of Attention</t>
  </si>
  <si>
    <t>_0538</t>
  </si>
  <si>
    <t>Kiss Farkas Gábor</t>
  </si>
  <si>
    <t xml:space="preserve"> The Art of Memory in Late Medieval Central Europe</t>
  </si>
  <si>
    <t>_0537</t>
  </si>
  <si>
    <t xml:space="preserve"> Imagináció és imitáció Zrínyi eposzában</t>
  </si>
  <si>
    <t>_0540</t>
  </si>
  <si>
    <t>Kristóf Luca</t>
  </si>
  <si>
    <t xml:space="preserve"> Véleményformálók</t>
  </si>
  <si>
    <t>_0542</t>
  </si>
  <si>
    <t>Kroó Katalin, Bényei Tamás(szerk.)</t>
  </si>
  <si>
    <t xml:space="preserve"> Utópiák és ellenutópiák</t>
  </si>
  <si>
    <t>_0543</t>
  </si>
  <si>
    <t>Kroó  Katalin - Peeter Torop (eds.)</t>
  </si>
  <si>
    <t xml:space="preserve"> Russian Text (19th Century) and Antiquity</t>
  </si>
  <si>
    <t>_0544</t>
  </si>
  <si>
    <t>Kroó Katalin</t>
  </si>
  <si>
    <t xml:space="preserve"> Irodalmi szövegfolytonosság.A közvetítő alakzatok poétikája Dosztojevszkij alkotásaiban</t>
  </si>
  <si>
    <t>_0546</t>
  </si>
  <si>
    <t>Labádi Gergely</t>
  </si>
  <si>
    <t xml:space="preserve"> A magyar episztola a felvilágosodás korában</t>
  </si>
  <si>
    <t>_0547</t>
  </si>
  <si>
    <t>Lapis József - Sebestyén Attila</t>
  </si>
  <si>
    <t xml:space="preserve"> Erővonalak - közelítések Térey Jánoshoz</t>
  </si>
  <si>
    <t>_0548</t>
  </si>
  <si>
    <t>Lejeune Philippe</t>
  </si>
  <si>
    <t xml:space="preserve"> Önéletírás, élettörténet, napló</t>
  </si>
  <si>
    <t>_0549</t>
  </si>
  <si>
    <t>Lengyel Valéria</t>
  </si>
  <si>
    <t xml:space="preserve"> Elfordított látóhatár. A poétikai tér Nemes Nagy Ágnes költészetében</t>
  </si>
  <si>
    <t>_0551</t>
  </si>
  <si>
    <t>Lukácsi Margit</t>
  </si>
  <si>
    <t xml:space="preserve"> Kép, képzelet, fantasztikum: a fantázia mesterei a XIX-XX. századi olasz irodalomban Collóditól Calvinóig</t>
  </si>
  <si>
    <t>_0552</t>
  </si>
  <si>
    <t>Máthé Andrea</t>
  </si>
  <si>
    <t xml:space="preserve"> A könyv csábítása</t>
  </si>
  <si>
    <t>_0555</t>
  </si>
  <si>
    <t>Nagy András</t>
  </si>
  <si>
    <t xml:space="preserve"> Az árnyjátékos.Sören Kierkegaard irodalomtörténet, eszmetörténet és hatástörténet metszéspontjain</t>
  </si>
  <si>
    <t>_0556</t>
  </si>
  <si>
    <t>Pápes Éva</t>
  </si>
  <si>
    <t xml:space="preserve"> Királylányok, tündérek, boszorkányok – A nő három arca a mesében</t>
  </si>
  <si>
    <t>_0557</t>
  </si>
  <si>
    <t>Pásztor Péter</t>
  </si>
  <si>
    <t xml:space="preserve"> Northrop Frye 100:   A Danubian Perspective</t>
  </si>
  <si>
    <t>_0558</t>
  </si>
  <si>
    <t>Péter Ágnes</t>
  </si>
  <si>
    <t xml:space="preserve"> Keats világa</t>
  </si>
  <si>
    <t>_0559</t>
  </si>
  <si>
    <t>Péterfi Gábor</t>
  </si>
  <si>
    <t xml:space="preserve"> Szabó Dezső és Féja Géza Trianon-reflexiója és külpolitikai nézetei</t>
  </si>
  <si>
    <t>_0560</t>
  </si>
  <si>
    <t>Petrőczi Éva, Szabó András(szerk.)</t>
  </si>
  <si>
    <t xml:space="preserve"> A zsoltár a régi magyar irodalomban</t>
  </si>
  <si>
    <t>_0561</t>
  </si>
  <si>
    <t>Pócsi István és Szegő János (szerk.)</t>
  </si>
  <si>
    <t xml:space="preserve"> SPIROMÁNYOK. Kritikák és tanulmányok Spiró Györgyről</t>
  </si>
  <si>
    <t>_0562</t>
  </si>
  <si>
    <t xml:space="preserve">Propp V. J. </t>
  </si>
  <si>
    <t xml:space="preserve"> A varázsmese történeti gyökerei</t>
  </si>
  <si>
    <t>_0564</t>
  </si>
  <si>
    <t>Rippl Dóra</t>
  </si>
  <si>
    <t xml:space="preserve"> Filozófia, lélektan és metafizika Babits irodalomelméletében</t>
  </si>
  <si>
    <t>_0565</t>
  </si>
  <si>
    <t>Sárközi Éva (szerk.)</t>
  </si>
  <si>
    <t xml:space="preserve"> A kémikus, a pszichiáter, a jogász… és az irodalomtörténet. József Attila-értelmezések</t>
  </si>
  <si>
    <t>_0566</t>
  </si>
  <si>
    <t>Scheibner Tamás (szerk.)</t>
  </si>
  <si>
    <t xml:space="preserve"> Az értelmezés szükségessége - Tanulmányok Kertész Imréről</t>
  </si>
  <si>
    <t>_0567</t>
  </si>
  <si>
    <t>Scheibner Tamás és Vaderna Gábor (szerk.)</t>
  </si>
  <si>
    <t xml:space="preserve"> Tapasztalatcsere - Esszék és tanulmányok Bodor Ádámról</t>
  </si>
  <si>
    <t>_0568</t>
  </si>
  <si>
    <t>Spannraft Marcellina</t>
  </si>
  <si>
    <t xml:space="preserve"> Költészet és szakralitás </t>
  </si>
  <si>
    <t>_0569</t>
  </si>
  <si>
    <t xml:space="preserve"> Canudos ösvényein Márai Sándorral és Mario Vargas Llosával Euclides da Cunha nyomán</t>
  </si>
  <si>
    <t>_0570</t>
  </si>
  <si>
    <t>Szilveszter László</t>
  </si>
  <si>
    <t xml:space="preserve"> Félúton ég és föld között</t>
  </si>
  <si>
    <t>_0571</t>
  </si>
  <si>
    <t>Szűcs Zoltán Gábor; Vaderna Gábor (szerk.)</t>
  </si>
  <si>
    <t xml:space="preserve"> Nympholeptusok - Test, kánon, nyelv és költőiség problémái a 18-19. században</t>
  </si>
  <si>
    <t>_0572</t>
  </si>
  <si>
    <t>T. Szabó Levente</t>
  </si>
  <si>
    <t xml:space="preserve"> Mikszáth, a kételkedő modern</t>
  </si>
  <si>
    <t>_0573</t>
  </si>
  <si>
    <t>Takács Ferenc</t>
  </si>
  <si>
    <t>A hérosz és a kultusz/The Hero and His Cult: James Joyce</t>
  </si>
  <si>
    <t>_0574</t>
  </si>
  <si>
    <t>Tóth Sára</t>
  </si>
  <si>
    <t xml:space="preserve"> A képzelet másik oldala. Irodalom és vallás Northrop Frye életművében</t>
  </si>
  <si>
    <t>_0575</t>
  </si>
  <si>
    <t>Török Tamara</t>
  </si>
  <si>
    <t xml:space="preserve"> Goldoni és Velence</t>
  </si>
  <si>
    <t>_0512</t>
  </si>
  <si>
    <t>Czeglédy Herausgegeben von Anita, József Fülöp, Szilvia Ritz</t>
  </si>
  <si>
    <t xml:space="preserve"> Inspirationen.Künste im Wechselspiel</t>
  </si>
  <si>
    <t>_0545a</t>
  </si>
  <si>
    <t>Kulin Borbála</t>
  </si>
  <si>
    <t xml:space="preserve"> Sejteni merem, hogy kiszemeltettem</t>
  </si>
  <si>
    <t>_0509</t>
  </si>
  <si>
    <t xml:space="preserve"> Rilke. Ornamentika és halál</t>
  </si>
  <si>
    <t>_0600</t>
  </si>
  <si>
    <t>Balogh Lídia-Kádár András Kristóf-Majtényi Balázs-Pap András László</t>
  </si>
  <si>
    <t xml:space="preserve"> Antidiszkriminációs és esélyegyenlőségi alapismeretek</t>
  </si>
  <si>
    <t>Tudomány / Jogtudomány</t>
  </si>
  <si>
    <t>_0601</t>
  </si>
  <si>
    <t>Bayer Judit - Kállai Gábor</t>
  </si>
  <si>
    <t xml:space="preserve"> Az emberi jogok alapjai</t>
  </si>
  <si>
    <t>_0602</t>
  </si>
  <si>
    <t>Bodor Mária</t>
  </si>
  <si>
    <t xml:space="preserve"> Gazdasági jog</t>
  </si>
  <si>
    <t>_0603</t>
  </si>
  <si>
    <t>Csiziné Dr. Schlosser Annamária</t>
  </si>
  <si>
    <t xml:space="preserve"> Az egyházi jogi személy a régi és az új egyházügyi törvényben</t>
  </si>
  <si>
    <t>_0604</t>
  </si>
  <si>
    <t>Dr. Hargitai Vera</t>
  </si>
  <si>
    <t xml:space="preserve"> Polgári jog. Főiskolai tankönyv</t>
  </si>
  <si>
    <t>_0606</t>
  </si>
  <si>
    <t>Guild Elspeth</t>
  </si>
  <si>
    <t xml:space="preserve"> Mikor bűncselekmény a háború?</t>
  </si>
  <si>
    <t>_0607</t>
  </si>
  <si>
    <t>Halmai Gábor</t>
  </si>
  <si>
    <t xml:space="preserve"> Alkotmányjog – emberi jogok – globalizáció. Az alkotmányos eszmék migrációja</t>
  </si>
  <si>
    <t>_0608</t>
  </si>
  <si>
    <t>Homicskó Árpád</t>
  </si>
  <si>
    <t xml:space="preserve"> A magyar társadalombiztosítási és szociális ellátások rendszere</t>
  </si>
  <si>
    <t>_0609</t>
  </si>
  <si>
    <t>Kállai Gábor</t>
  </si>
  <si>
    <t xml:space="preserve"> A közjog alapjai</t>
  </si>
  <si>
    <t>_0610</t>
  </si>
  <si>
    <t xml:space="preserve"> A közjog alapjai. Alkotmány – Alaptörvény</t>
  </si>
  <si>
    <t>_0612</t>
  </si>
  <si>
    <t>Kiss Zoltán</t>
  </si>
  <si>
    <t xml:space="preserve"> A kultúra és a tömegkommunikáció jogi szabályai</t>
  </si>
  <si>
    <t>_0613</t>
  </si>
  <si>
    <t>Kovács Kriszta</t>
  </si>
  <si>
    <t xml:space="preserve"> Az egyenlőség felé.A hátrányos megkülönböztetés tilalma és a támogató intézkedések</t>
  </si>
  <si>
    <t>_0614</t>
  </si>
  <si>
    <t>Kun Attila</t>
  </si>
  <si>
    <t xml:space="preserve"> A munkajogi megfelelés ösztönzésének újszerű jogi eszközei</t>
  </si>
  <si>
    <t>_0615</t>
  </si>
  <si>
    <t>Majtényi Balázs (szerk.)</t>
  </si>
  <si>
    <t xml:space="preserve"> Lejtős pálya. Az antidiszkriminációs és esélyegyenlőségi szabályozásról</t>
  </si>
  <si>
    <t>_0617</t>
  </si>
  <si>
    <t>Majtényi Balázs</t>
  </si>
  <si>
    <t xml:space="preserve"> Félreértett jogosultságok.Bizonytalan helyzetű alapjogok Magyarországon</t>
  </si>
  <si>
    <t>_0616</t>
  </si>
  <si>
    <t xml:space="preserve"> Nemzetközi jog</t>
  </si>
  <si>
    <t>_0618</t>
  </si>
  <si>
    <t>Majtényi László és Szabó Máté Dániel(szerk.)</t>
  </si>
  <si>
    <t xml:space="preserve"> Az elveszejtett alkotmány</t>
  </si>
  <si>
    <t>_0619</t>
  </si>
  <si>
    <t>Orosz András Lóránt OFM (szerk.)</t>
  </si>
  <si>
    <t xml:space="preserve"> Emberi jogok a Katolikus Egyház életében és jogában</t>
  </si>
  <si>
    <t>_0621</t>
  </si>
  <si>
    <t>Pap András László</t>
  </si>
  <si>
    <t xml:space="preserve"> A megfigyelés társadalmának proliferációjától az etnikai profilalkotáson át az állami felelősség kiszervezéséig</t>
  </si>
  <si>
    <t>_0620</t>
  </si>
  <si>
    <t xml:space="preserve"> Mozgásszabadság</t>
  </si>
  <si>
    <t>_0622</t>
  </si>
  <si>
    <t>Petrovics Zoltán</t>
  </si>
  <si>
    <t xml:space="preserve"> Munkajog</t>
  </si>
  <si>
    <t>_0623</t>
  </si>
  <si>
    <t>Sándor Judit</t>
  </si>
  <si>
    <t xml:space="preserve"> Az én molekuláim</t>
  </si>
  <si>
    <t>_0624</t>
  </si>
  <si>
    <t>Schweitzer Gábor</t>
  </si>
  <si>
    <t xml:space="preserve"> Az önkormányzatiság színe és fonákja. A fővárosi törvényhatósági bizottság szabályozása 1920 és 1930 között</t>
  </si>
  <si>
    <t>_0625</t>
  </si>
  <si>
    <t>Simon Zoltán (szerk.)</t>
  </si>
  <si>
    <t xml:space="preserve"> Döntéshozatal és jogalkotás az Európai Unióban</t>
  </si>
  <si>
    <t>_0626</t>
  </si>
  <si>
    <t>Simon Zoltán</t>
  </si>
  <si>
    <t xml:space="preserve"> Érdekérvényesítés a közpolitikai döntéshozatlaban az Európai Unióban és Magyarországon</t>
  </si>
  <si>
    <t>_0628</t>
  </si>
  <si>
    <t>Somody Bernadette</t>
  </si>
  <si>
    <t xml:space="preserve"> Alapjogi bíráskodás - alapjogok az ítélkezésben</t>
  </si>
  <si>
    <t>_0629</t>
  </si>
  <si>
    <t>Szente Zoltán</t>
  </si>
  <si>
    <t xml:space="preserve"> Challenges and pitfalls... (Alaptörvény)</t>
  </si>
  <si>
    <t>_0630</t>
  </si>
  <si>
    <t>Szuchy Róbert</t>
  </si>
  <si>
    <t xml:space="preserve"> Az összefonódás-ellenőrzés európai uniós szabályai a jogbiztonság tükrében</t>
  </si>
  <si>
    <t>_0631</t>
  </si>
  <si>
    <t>Tarnai, Schnieder</t>
  </si>
  <si>
    <t xml:space="preserve"> Formal methods for Railway Operation and Control Systems</t>
  </si>
  <si>
    <t>_0632</t>
  </si>
  <si>
    <t>Vitrai József (szerk.)</t>
  </si>
  <si>
    <t xml:space="preserve"> Büntetés helyett.A büntetőeljárás alternatívájaként működő elterelés kezelése</t>
  </si>
  <si>
    <t>_0700</t>
  </si>
  <si>
    <t>Aczél Petra - Bencze Lóránt (szerk.)</t>
  </si>
  <si>
    <t xml:space="preserve"> Hatékonyság és meggyőzés a kommunikációban</t>
  </si>
  <si>
    <t>Tudomány / Kommunikációtudomány</t>
  </si>
  <si>
    <t>_0701</t>
  </si>
  <si>
    <t>Andok Mónika</t>
  </si>
  <si>
    <t xml:space="preserve"> A hírek története</t>
  </si>
  <si>
    <t>_0702</t>
  </si>
  <si>
    <t xml:space="preserve"> Digitális média és mindennapi élet</t>
  </si>
  <si>
    <t>_0703</t>
  </si>
  <si>
    <t>Bajomi-Lázár Péter, Kotroczó Róbert, Sükösd Miklós (szerk.)</t>
  </si>
  <si>
    <t xml:space="preserve"> Kiegyensúlyozottság és kampány a médiában</t>
  </si>
  <si>
    <t>_0705</t>
  </si>
  <si>
    <t>Chomsky Noam–Edward S. Herman</t>
  </si>
  <si>
    <t xml:space="preserve"> Az egyetértés-gépezet</t>
  </si>
  <si>
    <t>_0706</t>
  </si>
  <si>
    <t>Csigó Péter</t>
  </si>
  <si>
    <t xml:space="preserve"> A konvergens televíziózás -Web-tv-közösség</t>
  </si>
  <si>
    <t>_0707</t>
  </si>
  <si>
    <t>Eriksen Thomas Hylland</t>
  </si>
  <si>
    <t xml:space="preserve"> A pillanat zsarnoksága</t>
  </si>
  <si>
    <t>_0708</t>
  </si>
  <si>
    <t>Fehér Katalin (szerk.)</t>
  </si>
  <si>
    <t xml:space="preserve"> Tanulmányok a társadalmi kommunikáció témaköréből</t>
  </si>
  <si>
    <t>_0709</t>
  </si>
  <si>
    <t>Gács Anna (szerk.)</t>
  </si>
  <si>
    <t xml:space="preserve"> A folyóiratok kultúrája az elektronikus kor szemszögéből</t>
  </si>
  <si>
    <t>_0710</t>
  </si>
  <si>
    <t>Hossó Nikoletta</t>
  </si>
  <si>
    <t xml:space="preserve"> Protokoll a diplomácia és a nemzetközi kapcsolatok hátterében</t>
  </si>
  <si>
    <t>_0713</t>
  </si>
  <si>
    <t>Kiss Balázs (szerk.)</t>
  </si>
  <si>
    <t xml:space="preserve"> Távolabb a médiától. 2004-es kampányok vizsgálata</t>
  </si>
  <si>
    <t>_0714</t>
  </si>
  <si>
    <t>Kiss Balázs, Mihályffy Zsuzsanna, Szabó Gabriella (szerk.)</t>
  </si>
  <si>
    <t xml:space="preserve"> Tükörjáték</t>
  </si>
  <si>
    <t>_0715</t>
  </si>
  <si>
    <t>Konczos-Szombathelyi Márta</t>
  </si>
  <si>
    <t xml:space="preserve"> Kommunikáló kultúrák</t>
  </si>
  <si>
    <t>_0717</t>
  </si>
  <si>
    <t>Lázár Kovács Ákos</t>
  </si>
  <si>
    <t xml:space="preserve"> A nyilvánosság etikai és esztétikai dimenziói</t>
  </si>
  <si>
    <t>_0718</t>
  </si>
  <si>
    <t>Lovász Irén</t>
  </si>
  <si>
    <t xml:space="preserve"> Szakrális kommunikáció</t>
  </si>
  <si>
    <t>_0720</t>
  </si>
  <si>
    <t>Müllner András(szerk.)</t>
  </si>
  <si>
    <t xml:space="preserve"> A változás kultúrái. Művészet, média és rendszerváltás</t>
  </si>
  <si>
    <t>_0721</t>
  </si>
  <si>
    <t>Szabó Gabriella – Mihályffy Zsuzsanna – Kiss Balázs(szerk.)</t>
  </si>
  <si>
    <t xml:space="preserve"> Kritikus kampány.A 2010-es országgyûlési választási kampány elemzése</t>
  </si>
  <si>
    <t>_0722</t>
  </si>
  <si>
    <t>Szabó Gabriella</t>
  </si>
  <si>
    <t xml:space="preserve"> Kommunikáció és integráció</t>
  </si>
  <si>
    <t>_0723</t>
  </si>
  <si>
    <t>Tényi - Bayer - Nyakas - Koppányi</t>
  </si>
  <si>
    <t xml:space="preserve"> A közszolgálati média és az európai versenyjog</t>
  </si>
  <si>
    <t>_0724</t>
  </si>
  <si>
    <t>Varga Katalin</t>
  </si>
  <si>
    <t xml:space="preserve"> Az információtól a műveltségig</t>
  </si>
  <si>
    <t>_0800</t>
  </si>
  <si>
    <t>Andor László</t>
  </si>
  <si>
    <t xml:space="preserve"> Összehasonlító gazdaságtan - globális szemléletben</t>
  </si>
  <si>
    <t>Tudomány / Közgazdaságtudomány</t>
  </si>
  <si>
    <t>_0802</t>
  </si>
  <si>
    <t>Balogh Eszter</t>
  </si>
  <si>
    <t xml:space="preserve"> Túlélési stratégiák a magyar gazdaságban:   Esettanulmányok a 2000-es évek elejéről</t>
  </si>
  <si>
    <t>_0803</t>
  </si>
  <si>
    <t>Bruni Luigino–Stefano Zamagni</t>
  </si>
  <si>
    <t xml:space="preserve"> Civil gazdaság – Hatékonyság, méltányosság és köz-jóllét</t>
  </si>
  <si>
    <t>_0804</t>
  </si>
  <si>
    <t>Bugovics Zoltán</t>
  </si>
  <si>
    <t xml:space="preserve"> Társadalom, identitás és területfejlesztés</t>
  </si>
  <si>
    <t>_0805</t>
  </si>
  <si>
    <t>Dobák Miklós (szerk.)</t>
  </si>
  <si>
    <t xml:space="preserve"> A gazdasági és társadalmi érdekérvényesítés stratégiai és  szervezeti modelljei a 20. században</t>
  </si>
  <si>
    <t>_0806</t>
  </si>
  <si>
    <t xml:space="preserve"> Tanulmányok a magyar menedzsmenttudomány 20. századi történetéről</t>
  </si>
  <si>
    <t>_0807</t>
  </si>
  <si>
    <t>Dobák Miklós, KArdos József, Strausz Péter, Zachar Péter Krisztián</t>
  </si>
  <si>
    <t xml:space="preserve"> Társadalmi és gazdasági érdekérvényesítés a XX. században.</t>
  </si>
  <si>
    <t>_0809</t>
  </si>
  <si>
    <t>Dr. Huszti Ernő</t>
  </si>
  <si>
    <t xml:space="preserve"> Egy valuta története.A forint forgalma a stabilizációtól az euró elôszobájáig</t>
  </si>
  <si>
    <t>_0810</t>
  </si>
  <si>
    <t>Dusek Tamás</t>
  </si>
  <si>
    <t xml:space="preserve"> Tér és közgazdaságtan</t>
  </si>
  <si>
    <t>_0811</t>
  </si>
  <si>
    <t>Ékes Ildikó</t>
  </si>
  <si>
    <t xml:space="preserve"> A rejtett gazdaság</t>
  </si>
  <si>
    <t>_0812</t>
  </si>
  <si>
    <t>Fogarassy Csaba</t>
  </si>
  <si>
    <t xml:space="preserve"> Karbongazdaság</t>
  </si>
  <si>
    <t>_0816</t>
  </si>
  <si>
    <t>Lengyel Balázs</t>
  </si>
  <si>
    <t xml:space="preserve"> Tudásalapú regionális fejlődés</t>
  </si>
  <si>
    <t>_0817</t>
  </si>
  <si>
    <t>Lindner Sándor és Dihen Lajosné</t>
  </si>
  <si>
    <t xml:space="preserve"> A személyügyi kontrolling gyakorlata</t>
  </si>
  <si>
    <t>_0818</t>
  </si>
  <si>
    <t>Misz  József</t>
  </si>
  <si>
    <t xml:space="preserve"> A makroökonómia alapjai</t>
  </si>
  <si>
    <t>_0819</t>
  </si>
  <si>
    <t xml:space="preserve"> A mikroökonómia alapjai</t>
  </si>
  <si>
    <t>_0820</t>
  </si>
  <si>
    <t>Pataki Béla</t>
  </si>
  <si>
    <t xml:space="preserve"> Technomenedzsment</t>
  </si>
  <si>
    <t>_0822</t>
  </si>
  <si>
    <t>Somogyi Ferenc</t>
  </si>
  <si>
    <t xml:space="preserve"> A magyar emberitőke-állomány állapota</t>
  </si>
  <si>
    <t>_0824</t>
  </si>
  <si>
    <t>Tóth Gergely</t>
  </si>
  <si>
    <t xml:space="preserve"> Gazdasággép története</t>
  </si>
  <si>
    <t>_0825</t>
  </si>
  <si>
    <t>Vonderbourght Yannik -Phillippe Van Parijs</t>
  </si>
  <si>
    <t xml:space="preserve"> Alapjövedelem</t>
  </si>
  <si>
    <t>_0826</t>
  </si>
  <si>
    <t>Zachar Péter Krisztián (szerk.)</t>
  </si>
  <si>
    <t xml:space="preserve"> Gazdaság, társadalom, hivatásrendiség a 20. századi Európában</t>
  </si>
  <si>
    <t>_0900_1</t>
  </si>
  <si>
    <t>Andrásfalvy Bertalan (szerk.)</t>
  </si>
  <si>
    <t xml:space="preserve"> Az idő rostájában I. - Tanulmányok Vargyas Lajos 90. születésnapjára</t>
  </si>
  <si>
    <t>Tudomány / Néprajz</t>
  </si>
  <si>
    <t>_0900_2</t>
  </si>
  <si>
    <t xml:space="preserve"> Az idő rostájában II. - Tanulmányok Vargyas Lajos 90. születésnapjára</t>
  </si>
  <si>
    <t>_0900_3</t>
  </si>
  <si>
    <t xml:space="preserve"> Az idő rostájában III. - Tanulmányok Vargyas Lajos 90. születésnapjára</t>
  </si>
  <si>
    <t>_0901</t>
  </si>
  <si>
    <t>Andrásfalvy Bertalan</t>
  </si>
  <si>
    <t xml:space="preserve"> Együtt élő népek - eltérő értékrendek</t>
  </si>
  <si>
    <t>_0902</t>
  </si>
  <si>
    <t>Antalné Tankó Mária</t>
  </si>
  <si>
    <t xml:space="preserve"> Gyimes-völgyi népi gyógyászat</t>
  </si>
  <si>
    <t>_0904</t>
  </si>
  <si>
    <t>Belényesy Márta</t>
  </si>
  <si>
    <t xml:space="preserve"> Fejezetek a középkori anyagi kultúra történetéből I.</t>
  </si>
  <si>
    <t>_0905</t>
  </si>
  <si>
    <t xml:space="preserve"> Fejezetek a középkori anyagi kultúra történetéből II.</t>
  </si>
  <si>
    <t>_0908</t>
  </si>
  <si>
    <t>Bosnyák Sándor</t>
  </si>
  <si>
    <t xml:space="preserve"> Magyar Biblia</t>
  </si>
  <si>
    <t>_0907</t>
  </si>
  <si>
    <t xml:space="preserve"> Mit láték álmomban - Népi álomfejtés és hiedelmek</t>
  </si>
  <si>
    <t>_0909</t>
  </si>
  <si>
    <t>Budai Pál</t>
  </si>
  <si>
    <t xml:space="preserve"> A köznép babonái és balvélekedései ellen való Prédikátziók. Nagy-Bajom, 1824-25 (Közreadja:  Szacsvay Éva és Szalánszki Edit)</t>
  </si>
  <si>
    <t>_0910</t>
  </si>
  <si>
    <t>Bum erdene</t>
  </si>
  <si>
    <t>_0911</t>
  </si>
  <si>
    <t>Csonka-Takács Eszter (szerk.)</t>
  </si>
  <si>
    <t xml:space="preserve"> Busójárás Mohácson</t>
  </si>
  <si>
    <t>_0912</t>
  </si>
  <si>
    <t>Dorvizsi. Ének az udmurt hősökről</t>
  </si>
  <si>
    <t>_0913a</t>
  </si>
  <si>
    <t>Égető Melinda (szerk.)</t>
  </si>
  <si>
    <t xml:space="preserve"> Szőlőhegyi szabályzatok és hegyközösségi törvények a 17-19. századból</t>
  </si>
  <si>
    <t>_0914</t>
  </si>
  <si>
    <t>Égetõ Melinda és Polgár Tamás (közreadó)</t>
  </si>
  <si>
    <t xml:space="preserve"> Hegytörvények és szőlőtelepítő levelek Somogy vármegyéből (1732–1847)</t>
  </si>
  <si>
    <t>_0913</t>
  </si>
  <si>
    <t xml:space="preserve"> Hegytörvények és szőlőtelepítő levelek Győr és Sopron vármegyékből (1551-1843)</t>
  </si>
  <si>
    <t>_0913b</t>
  </si>
  <si>
    <t xml:space="preserve"> Hegytörvények forrásközléseinek gyűjteménye (1470-1846)</t>
  </si>
  <si>
    <t>_0915</t>
  </si>
  <si>
    <t xml:space="preserve"> Hegytörvények és szőlőtelepítő levelek Veszprém vármegyéből (1626-1828)</t>
  </si>
  <si>
    <t>_0917</t>
  </si>
  <si>
    <t>Ekler Andrea, Mikos Éva, Vargyas Gábor (szerk.)</t>
  </si>
  <si>
    <t xml:space="preserve"> Teremtés. Szövegfolklorisztikai tanulmányok Nagy Ilona tiszteletére</t>
  </si>
  <si>
    <t>_0918</t>
  </si>
  <si>
    <t>Farkas - Keszeg (szerk.)</t>
  </si>
  <si>
    <t xml:space="preserve"> Kolozsvártól Pécsig, a yaoitól a juhászatig</t>
  </si>
  <si>
    <t>_0919</t>
  </si>
  <si>
    <t>Fazekas Zsuzsa (szerk.)</t>
  </si>
  <si>
    <t xml:space="preserve"> A hétfejű Zarvas - Kaukázusi mítoszok, népmesék, mondák</t>
  </si>
  <si>
    <t>_0922</t>
  </si>
  <si>
    <t xml:space="preserve"> Dede Korkut Könyve - Török eredetmonda</t>
  </si>
  <si>
    <t>_0923</t>
  </si>
  <si>
    <t xml:space="preserve"> Ezen vöfi Könyv a Karsai Mihályé - Vőfélykönyv Székről</t>
  </si>
  <si>
    <t>_0924</t>
  </si>
  <si>
    <t xml:space="preserve"> Köroglu</t>
  </si>
  <si>
    <t>_0925</t>
  </si>
  <si>
    <t xml:space="preserve"> Nartok. Kaukázusi hősi mondák</t>
  </si>
  <si>
    <t>_0926</t>
  </si>
  <si>
    <t>Fehér Zoltán</t>
  </si>
  <si>
    <t xml:space="preserve"> Boszorkány a forgószélben</t>
  </si>
  <si>
    <t>_0928</t>
  </si>
  <si>
    <t>Fülemile Ágnes, Kiss Réka (szerk.)</t>
  </si>
  <si>
    <t xml:space="preserve"> Történeti forrás – Néprajzi olvasat</t>
  </si>
  <si>
    <t>_0930</t>
  </si>
  <si>
    <t>Gagyi-Dyekiss</t>
  </si>
  <si>
    <t xml:space="preserve"> Hiedelemszövegek Székelyföldről</t>
  </si>
  <si>
    <t>_0931</t>
  </si>
  <si>
    <t>Görög-Karády Veronika (szerk.)</t>
  </si>
  <si>
    <t xml:space="preserve"> Erdős Lajos mesei világa és meséi</t>
  </si>
  <si>
    <t>_0932</t>
  </si>
  <si>
    <t>Hála József</t>
  </si>
  <si>
    <t xml:space="preserve"> Tudósok, kutatók, gyűjtők</t>
  </si>
  <si>
    <t>_0934</t>
  </si>
  <si>
    <t>Hoppál Mihály</t>
  </si>
  <si>
    <t xml:space="preserve"> Hiedelem és hagyomány</t>
  </si>
  <si>
    <t>_0935</t>
  </si>
  <si>
    <t>Iancu Laura</t>
  </si>
  <si>
    <t xml:space="preserve"> Vallás Magyarfaluban – Néprajzi vizsgálat</t>
  </si>
  <si>
    <t>_0936</t>
  </si>
  <si>
    <t>Juhász Katalin (szerk.)</t>
  </si>
  <si>
    <t xml:space="preserve"> Tiszta sorok - tanulmányok a tisztaságról és a tisztálkodásról</t>
  </si>
  <si>
    <t>_0937</t>
  </si>
  <si>
    <t>Kámán Erzsébet (szerk.)</t>
  </si>
  <si>
    <t xml:space="preserve"> Mélységek könyve. Orosz vallásos népénekek</t>
  </si>
  <si>
    <t>_0938</t>
  </si>
  <si>
    <t>Kemecsi Lajos</t>
  </si>
  <si>
    <t xml:space="preserve"> A magyar paraszti járműkultúra</t>
  </si>
  <si>
    <t>_0939</t>
  </si>
  <si>
    <t>Keszeg Vilmos, Peti Lehel, Pócs Éva</t>
  </si>
  <si>
    <t xml:space="preserve"> Álmok és látomások a 20-21. századból</t>
  </si>
  <si>
    <t>_0941</t>
  </si>
  <si>
    <t>Kóka Rozália (szerk.)</t>
  </si>
  <si>
    <t xml:space="preserve"> Bételjesítem Isten akaratját</t>
  </si>
  <si>
    <t>_0942</t>
  </si>
  <si>
    <t>Kovács Teréz</t>
  </si>
  <si>
    <t xml:space="preserve"> A paraszti gazdálkodás és társadalom átalakulása</t>
  </si>
  <si>
    <t>_0943</t>
  </si>
  <si>
    <t>Küllős Imola - Sándor Ildikó (közreadók)</t>
  </si>
  <si>
    <t xml:space="preserve"> Két kárpátaljai parasztpróféta szent iratai</t>
  </si>
  <si>
    <t>_0944</t>
  </si>
  <si>
    <t>Küllős Imola - Vasvári Zoltán (szerk.)</t>
  </si>
  <si>
    <t xml:space="preserve"> Áldozatok. A második világháborús hadifogolytáborok és a sztálini lágerek folklórjából</t>
  </si>
  <si>
    <t>_0945</t>
  </si>
  <si>
    <t>Láng Benedek - Tóth G. Péter (szerk.)</t>
  </si>
  <si>
    <t xml:space="preserve"> A kincskeresés 400 éve Magyarországon</t>
  </si>
  <si>
    <t>_0947</t>
  </si>
  <si>
    <t>Mikos Éva</t>
  </si>
  <si>
    <t xml:space="preserve"> Árpád pajzsa.A magyar honfoglalás-hagyomány megszerkesztése és népszerûsítése a XVIII-XIX. században</t>
  </si>
  <si>
    <t>_0948</t>
  </si>
  <si>
    <t>Miskolczy Ambrus</t>
  </si>
  <si>
    <t xml:space="preserve"> Felvilágosodás és babonaság</t>
  </si>
  <si>
    <t>_0949</t>
  </si>
  <si>
    <t>Mohay Tamás</t>
  </si>
  <si>
    <t xml:space="preserve"> A csíksomlyói pünkösdi búcsújárás. Történet, eredet, hagyomány</t>
  </si>
  <si>
    <t>_0951</t>
  </si>
  <si>
    <t>Oguz kán</t>
  </si>
  <si>
    <t>_0952</t>
  </si>
  <si>
    <t>Pápay József (szerk.)</t>
  </si>
  <si>
    <t xml:space="preserve"> Osztják hősénekek</t>
  </si>
  <si>
    <t>_0954</t>
  </si>
  <si>
    <t>Pócs Éva (szerk.)</t>
  </si>
  <si>
    <t xml:space="preserve"> Folyamatok és fordulópontok - Tanulmányok Andrásfalvy Bertalan 70. születésnapjára</t>
  </si>
  <si>
    <t>_0955</t>
  </si>
  <si>
    <t xml:space="preserve"> Közösség és identitás</t>
  </si>
  <si>
    <t>_0956</t>
  </si>
  <si>
    <t xml:space="preserve"> Múlt és jelen</t>
  </si>
  <si>
    <t>_0957</t>
  </si>
  <si>
    <t xml:space="preserve"> Rítus és ünnep az ezredfordulón</t>
  </si>
  <si>
    <t>_0958</t>
  </si>
  <si>
    <t xml:space="preserve"> Szent helyek, ünnepek, szent szövegek. Tanulmányok a romániai magyarság vallási életéből</t>
  </si>
  <si>
    <t>_0959</t>
  </si>
  <si>
    <t xml:space="preserve"> Vannak csodák, csak észre kell venni - Helyi vallás, néphit és vallásos folklór Gyimesben I.</t>
  </si>
  <si>
    <t>_0962</t>
  </si>
  <si>
    <t>Pócs Éva</t>
  </si>
  <si>
    <t xml:space="preserve"> Elindula boldogságos szép Szűz Mária</t>
  </si>
  <si>
    <t>_0960</t>
  </si>
  <si>
    <t xml:space="preserve"> Magyar néphit Közép- és Kelet-Európa határán</t>
  </si>
  <si>
    <t>_0961</t>
  </si>
  <si>
    <t>Tárgy,jel,jelentés</t>
  </si>
  <si>
    <t>_0964</t>
  </si>
  <si>
    <t>Rudas Márta</t>
  </si>
  <si>
    <t xml:space="preserve"> Folyosóról folyosóra, a variánsok útvesztői között. Egy dallamtípus Fehér László balladái</t>
  </si>
  <si>
    <t>_0965</t>
  </si>
  <si>
    <t>Sajószentpéteri István</t>
  </si>
  <si>
    <t xml:space="preserve"> Ördög szára-bordája</t>
  </si>
  <si>
    <t>_0966</t>
  </si>
  <si>
    <t xml:space="preserve">Saronov_ Masztorava. Erza és moksa népköltészeti anyag feldolgozásával írta Alekszandr Markovics </t>
  </si>
  <si>
    <t>_0968</t>
  </si>
  <si>
    <t>Szigeti Jenő (szerk.)</t>
  </si>
  <si>
    <t xml:space="preserve"> Protestáns népi látomások a XVIII. századból</t>
  </si>
  <si>
    <t>_0969</t>
  </si>
  <si>
    <t>Szilágyi Miklós</t>
  </si>
  <si>
    <t xml:space="preserve"> Halászó parasztok - halászati vállalkozók</t>
  </si>
  <si>
    <t>_0970</t>
  </si>
  <si>
    <t>Szőlőhegyi szabályzatok és hegyközségi törvények a XVII-XIX. századból</t>
  </si>
  <si>
    <t>_0973</t>
  </si>
  <si>
    <t>Tobakné Váczi Mária</t>
  </si>
  <si>
    <t xml:space="preserve"> Ballószögi vadvirágok.</t>
  </si>
  <si>
    <t>_0974</t>
  </si>
  <si>
    <t>Tomisa Ilona (szerk.)</t>
  </si>
  <si>
    <t xml:space="preserve"> Mely hív szolgálattyáért esztendőbéli fizetése lészen</t>
  </si>
  <si>
    <t>_0975</t>
  </si>
  <si>
    <t>Tőzsér Kapcsos Anna</t>
  </si>
  <si>
    <t xml:space="preserve"> Palócul tanított imádkozni Anyám</t>
  </si>
  <si>
    <t>_0976</t>
  </si>
  <si>
    <t xml:space="preserve"> VL 100. - 2. javított kiadás</t>
  </si>
  <si>
    <t>_0977a</t>
  </si>
  <si>
    <t>Vargyas Gábor (edited by)</t>
  </si>
  <si>
    <t xml:space="preserve"> Passageways.From Hungarian Ethnography to European Ethnology and Sociocultural Anthropology</t>
  </si>
  <si>
    <t>_0978</t>
  </si>
  <si>
    <t>Vargyas Gábor(szerk.)</t>
  </si>
  <si>
    <t xml:space="preserve"> Párbeszéd a hagyománnyal. A néprajzi kutatás múltja és jelene</t>
  </si>
  <si>
    <t>_0979</t>
  </si>
  <si>
    <t>Viga Gyula</t>
  </si>
  <si>
    <t xml:space="preserve"> A bodrogközi kultúra és társadalom változása a 19-20. században</t>
  </si>
  <si>
    <t>_0927</t>
  </si>
  <si>
    <t>Fehérlófia</t>
  </si>
  <si>
    <t>_0940</t>
  </si>
  <si>
    <t>Kocsis Rózsi</t>
  </si>
  <si>
    <t xml:space="preserve"> Nyitott könyv a lelkem - Egy anya vallomása</t>
  </si>
  <si>
    <t>_0916</t>
  </si>
  <si>
    <t>Ekkehard barát</t>
  </si>
  <si>
    <t xml:space="preserve"> Erős kezű Valter története</t>
  </si>
  <si>
    <t>_1000</t>
  </si>
  <si>
    <t>Ábrahám Katalin</t>
  </si>
  <si>
    <t xml:space="preserve"> Felnőttként az iskolapadban</t>
  </si>
  <si>
    <t>Tudomány / Neveléstudomány</t>
  </si>
  <si>
    <t>_1001</t>
  </si>
  <si>
    <t>Cziboly Ádám–Bethlenfalvy Ádám</t>
  </si>
  <si>
    <t xml:space="preserve"> Színházi nevelési programok kézikönyve 2013</t>
  </si>
  <si>
    <t>_1002</t>
  </si>
  <si>
    <t>Dringó-Horváth Ida, N. Császi Ildikó</t>
  </si>
  <si>
    <t xml:space="preserve"> Digitális tananyagok - Oktatásinformatikai kompetencia</t>
  </si>
  <si>
    <t>_1003</t>
  </si>
  <si>
    <t>Erőss Gábor, Kende Anna (szerk.)</t>
  </si>
  <si>
    <t xml:space="preserve"> Túl a szegregáción. Kategóriák burjánzása a magyar közoktatásban</t>
  </si>
  <si>
    <t>_1005</t>
  </si>
  <si>
    <t xml:space="preserve"> Akadályverseny. Szabadság-projekt az iskolában</t>
  </si>
  <si>
    <t>_1006</t>
  </si>
  <si>
    <t>Kozák  András</t>
  </si>
  <si>
    <t xml:space="preserve"> Fontosabb változások a tanügyi és a közoktatást érintő munkajogi szabályozás terén.</t>
  </si>
  <si>
    <t>_1008</t>
  </si>
  <si>
    <t>Lázár Imre</t>
  </si>
  <si>
    <t xml:space="preserve"> A nevelés kozmológusai</t>
  </si>
  <si>
    <t>_1009</t>
  </si>
  <si>
    <t>Pálvölgyi Ferenc</t>
  </si>
  <si>
    <t xml:space="preserve"> Az erkölcsi nevelés új perspektívái</t>
  </si>
  <si>
    <t>_1011</t>
  </si>
  <si>
    <t>Péterfi Gábor, Fekete Bálint (szerk.)</t>
  </si>
  <si>
    <t xml:space="preserve"> Történelemtanításról a 21. század elején</t>
  </si>
  <si>
    <t>_1013</t>
  </si>
  <si>
    <t>Sümeginé Dr. Tóth Piroska</t>
  </si>
  <si>
    <t xml:space="preserve"> Bepillantás</t>
  </si>
  <si>
    <t>_1014</t>
  </si>
  <si>
    <t>Váriné Szilágyi Ibolya</t>
  </si>
  <si>
    <t xml:space="preserve"> A jogtudatról – alulnézetben.Tizenévesek jogtudata és jogi érzékenysége</t>
  </si>
  <si>
    <t>_1100</t>
  </si>
  <si>
    <t>Borbély Anna</t>
  </si>
  <si>
    <t xml:space="preserve"> Kétnyelvűség</t>
  </si>
  <si>
    <t>Tudomány / Nyelvtudomány</t>
  </si>
  <si>
    <t>_1101</t>
  </si>
  <si>
    <t>Budai László</t>
  </si>
  <si>
    <t xml:space="preserve"> A magyar mint idegen nyelv grammatikája</t>
  </si>
  <si>
    <t>_1103</t>
  </si>
  <si>
    <t>Déri Balázs (szerk.)</t>
  </si>
  <si>
    <t xml:space="preserve"> Oratoris officium</t>
  </si>
  <si>
    <t>_1104</t>
  </si>
  <si>
    <t>Fodor István</t>
  </si>
  <si>
    <t xml:space="preserve"> A bantu nyelvek</t>
  </si>
  <si>
    <t>_1105</t>
  </si>
  <si>
    <t>Hessky Regina</t>
  </si>
  <si>
    <t xml:space="preserve"> Das wort - ein weites feld</t>
  </si>
  <si>
    <t>_1106</t>
  </si>
  <si>
    <t>Honti László</t>
  </si>
  <si>
    <t xml:space="preserve"> Magyar nyelvtörténeti tanulmányok</t>
  </si>
  <si>
    <t>_1108</t>
  </si>
  <si>
    <t>Kassai Ilona (szerk.)</t>
  </si>
  <si>
    <t xml:space="preserve"> A mondat információs szerkezete</t>
  </si>
  <si>
    <t>_1109</t>
  </si>
  <si>
    <t>Morvay Károly</t>
  </si>
  <si>
    <t xml:space="preserve"> DUK - Rövid baszk nyelvtan</t>
  </si>
  <si>
    <t>_1110</t>
  </si>
  <si>
    <t xml:space="preserve"> Magyar-baszk szószedet</t>
  </si>
  <si>
    <t>_1111</t>
  </si>
  <si>
    <t>Vászolyi Erik</t>
  </si>
  <si>
    <t xml:space="preserve"> Ausztrália bennszülött nyelvei</t>
  </si>
  <si>
    <t>_1108a</t>
  </si>
  <si>
    <t>La structure informationnelle de la phrase</t>
  </si>
  <si>
    <t>_1200</t>
  </si>
  <si>
    <t>Antal Attila - Novák Zoltán - Szentpéteri Nagy Richard (szerk.)</t>
  </si>
  <si>
    <t xml:space="preserve"> Az alkotmány arca. Preambulum-tanulmányok</t>
  </si>
  <si>
    <t>Tudomány / Politikatudomány</t>
  </si>
  <si>
    <t>_1201</t>
  </si>
  <si>
    <t>Arday Lajos</t>
  </si>
  <si>
    <t xml:space="preserve"> Nemzetállamok és kisebbségek</t>
  </si>
  <si>
    <t>_1202</t>
  </si>
  <si>
    <t>Balázs Zoltán</t>
  </si>
  <si>
    <t xml:space="preserve"> Politikai értékelmélet</t>
  </si>
  <si>
    <t>_1203</t>
  </si>
  <si>
    <t>Balogh István</t>
  </si>
  <si>
    <t xml:space="preserve"> Igazságosság és politika</t>
  </si>
  <si>
    <t>_1204</t>
  </si>
  <si>
    <t xml:space="preserve"> Rendszerválság és társadalomelmélet.Tanulmányok</t>
  </si>
  <si>
    <t>_1205</t>
  </si>
  <si>
    <t>Bárdos-Féltoronyi Miklós</t>
  </si>
  <si>
    <t xml:space="preserve"> A nagyhatalmak harca Eurázsiában </t>
  </si>
  <si>
    <t>_1207</t>
  </si>
  <si>
    <t xml:space="preserve"> Bevezetés a geopolitikába</t>
  </si>
  <si>
    <t>_1206</t>
  </si>
  <si>
    <t xml:space="preserve"> Tudományelméleti kalandozások</t>
  </si>
  <si>
    <t>_1208</t>
  </si>
  <si>
    <t xml:space="preserve"> Vigyázat, jönnek a törökök! Meddig terjednek és egyáltalán vannak-e az Európai Uniónak határai?</t>
  </si>
  <si>
    <t>_1209</t>
  </si>
  <si>
    <t>Barnavi Elie -Krzysztof Pomian</t>
  </si>
  <si>
    <t xml:space="preserve"> Az európai forradalom 1945-2007</t>
  </si>
  <si>
    <t>_1210</t>
  </si>
  <si>
    <t>Bayer József és Boda Zsolt (szerk.)</t>
  </si>
  <si>
    <t xml:space="preserve"> A rendszerváltás húsz éve. Változások és válaszok</t>
  </si>
  <si>
    <t>_1211</t>
  </si>
  <si>
    <t>Bela Györgyi - Pató Zsuzsanna - Boda Zsolt</t>
  </si>
  <si>
    <t xml:space="preserve"> Magyarország a nemzetközi környezetpolitikában</t>
  </si>
  <si>
    <t>_1212</t>
  </si>
  <si>
    <t>Berényi Eszter–Erőss Gábor–Neumann Eszter</t>
  </si>
  <si>
    <t xml:space="preserve"> Tudás és politika. A közpolitika-alkotás gyakorlata</t>
  </si>
  <si>
    <t>_1213</t>
  </si>
  <si>
    <t>Blanco Domingo</t>
  </si>
  <si>
    <t xml:space="preserve"> A politikai filozófia alapelvei</t>
  </si>
  <si>
    <t>_1214</t>
  </si>
  <si>
    <t>Bóka Éva</t>
  </si>
  <si>
    <t xml:space="preserve"> Modernizáció és értékrend történelmi perspektívában</t>
  </si>
  <si>
    <t>_1215</t>
  </si>
  <si>
    <t>Boros Zsuzsanna</t>
  </si>
  <si>
    <t xml:space="preserve"> Rendszerváltozások Franciaországban</t>
  </si>
  <si>
    <t>_1216</t>
  </si>
  <si>
    <t>Borsi-Kálmán Béla</t>
  </si>
  <si>
    <t xml:space="preserve"> Pillanatkép</t>
  </si>
  <si>
    <t>_1217</t>
  </si>
  <si>
    <t>Botos Balázs</t>
  </si>
  <si>
    <t xml:space="preserve"> Az iparpolitika metamorfózisa</t>
  </si>
  <si>
    <t>_1218</t>
  </si>
  <si>
    <t>Bové José</t>
  </si>
  <si>
    <t xml:space="preserve"> Rablás Brüsszelben</t>
  </si>
  <si>
    <t>_1219</t>
  </si>
  <si>
    <t>Bozóki András</t>
  </si>
  <si>
    <t xml:space="preserve"> Cenzorok helyett fekvőrendőrök.Politikai kultúra és kulturális politika</t>
  </si>
  <si>
    <t>_1220</t>
  </si>
  <si>
    <t>Böcskei Balázs - Békés Márton</t>
  </si>
  <si>
    <t xml:space="preserve"> Ki!</t>
  </si>
  <si>
    <t>_1221</t>
  </si>
  <si>
    <t xml:space="preserve"> Padlóról padlóra - Magyar baloldal 2010-2014</t>
  </si>
  <si>
    <t>_1222</t>
  </si>
  <si>
    <t xml:space="preserve"> Economic and social conflicts concerning subjective well being</t>
  </si>
  <si>
    <t>_1223</t>
  </si>
  <si>
    <t xml:space="preserve"> Gazdasági és társadalmi konfliktusok a szubjektív jóllét és biztonságérzet megközelítésében</t>
  </si>
  <si>
    <t>_1224</t>
  </si>
  <si>
    <t>Carlos Antonio Aguirre Rojas</t>
  </si>
  <si>
    <t xml:space="preserve"> Engedelmeskedve parancsolni.A mexikói neozapatizmus politikai tanulságai</t>
  </si>
  <si>
    <t>_1225</t>
  </si>
  <si>
    <t>Csapody Tamás</t>
  </si>
  <si>
    <t xml:space="preserve"> Ne az én nevemben</t>
  </si>
  <si>
    <t>_1226</t>
  </si>
  <si>
    <t>Császár Nagy László</t>
  </si>
  <si>
    <t xml:space="preserve"> A bálványok ledőlnek, ugye?</t>
  </si>
  <si>
    <t>_1227</t>
  </si>
  <si>
    <t>Csizmadia Ervin (főszerk.)</t>
  </si>
  <si>
    <t xml:space="preserve"> Politikatudományi Szemle</t>
  </si>
  <si>
    <t>_1228</t>
  </si>
  <si>
    <t>Csizmadia Ervin</t>
  </si>
  <si>
    <t xml:space="preserve"> Politikai változáselmélet. Miért változnak pártok, kormányok, politikusok?</t>
  </si>
  <si>
    <t>_1230</t>
  </si>
  <si>
    <t>Csizmadia Norbert</t>
  </si>
  <si>
    <t xml:space="preserve"> Geopillanat. A 21. század megismerésének térképe</t>
  </si>
  <si>
    <t>_1231</t>
  </si>
  <si>
    <t>Csizmadia-Novák-Pétervári-Szentpéteri-Zsolt</t>
  </si>
  <si>
    <t xml:space="preserve"> A körbezárt politika</t>
  </si>
  <si>
    <t>_1232</t>
  </si>
  <si>
    <t>Delors Jacques</t>
  </si>
  <si>
    <t xml:space="preserve"> Az új európai összhang</t>
  </si>
  <si>
    <t>_1233</t>
  </si>
  <si>
    <t>Edelman Murray</t>
  </si>
  <si>
    <t xml:space="preserve"> A politika szimbolikus valósága</t>
  </si>
  <si>
    <t>_1234</t>
  </si>
  <si>
    <t>Ferry Jean-Marc - Thibaud Paul</t>
  </si>
  <si>
    <t xml:space="preserve"> Vita Európáról</t>
  </si>
  <si>
    <t>_1235</t>
  </si>
  <si>
    <t>Fleck Zoltán, Krémer Ferenc, Navratil Szonja,Uszkiewicz Erik</t>
  </si>
  <si>
    <t xml:space="preserve"> Technika vagy érték a jogállam?</t>
  </si>
  <si>
    <t>_1236</t>
  </si>
  <si>
    <t>Fricz Tamás és Orosz Tímea (szerk.)</t>
  </si>
  <si>
    <t xml:space="preserve"> Küzdelmes integráció.</t>
  </si>
  <si>
    <t>_1237</t>
  </si>
  <si>
    <t>G. Fodor Gábor</t>
  </si>
  <si>
    <t xml:space="preserve"> Gondoljuk újra a polgári radikálisokat</t>
  </si>
  <si>
    <t>_1238</t>
  </si>
  <si>
    <t xml:space="preserve"> Kérdéstilalom - Eric Voegelin politikai filozófiája</t>
  </si>
  <si>
    <t>_1239</t>
  </si>
  <si>
    <t>Gazsó L. Ferenc és Zelei Miklós</t>
  </si>
  <si>
    <t xml:space="preserve"> Őrjítő mandragóra. Bevezetés a politikai pszichiátriába</t>
  </si>
  <si>
    <t>_1241</t>
  </si>
  <si>
    <t>Glózer Rita</t>
  </si>
  <si>
    <t xml:space="preserve"> Diskurzusok a civil társadalomról</t>
  </si>
  <si>
    <t>_1242</t>
  </si>
  <si>
    <t>Grajczár István - Tóth András(szerk.)</t>
  </si>
  <si>
    <t xml:space="preserve"> Válság és változás. Utak a jobboldali radikalizmushoz</t>
  </si>
  <si>
    <t>_1243</t>
  </si>
  <si>
    <t>Habermas Jürgen</t>
  </si>
  <si>
    <t xml:space="preserve"> A posztnemzeti állapot</t>
  </si>
  <si>
    <t>_1244</t>
  </si>
  <si>
    <t>Herencsár Lajos - Schottner Krisztina - Vasali Zoltán</t>
  </si>
  <si>
    <t xml:space="preserve"> Bevezetés a nemzetközi intézmények és szervezetek világába</t>
  </si>
  <si>
    <t>_1245</t>
  </si>
  <si>
    <t>Hoppál K. Bulcsú, Cservák Csaba</t>
  </si>
  <si>
    <t xml:space="preserve"> Antall József, a rendszerváltoztató miniszterelnök</t>
  </si>
  <si>
    <t>_1246</t>
  </si>
  <si>
    <t xml:space="preserve"> Konzervativizmus, természetjog, rendszerváltás. Politika- és jogfilozófiai tanulmányok</t>
  </si>
  <si>
    <t>_1250</t>
  </si>
  <si>
    <t>Károlyi Angelica</t>
  </si>
  <si>
    <t xml:space="preserve"> Vándorlás bevándorlás</t>
  </si>
  <si>
    <t>_1251</t>
  </si>
  <si>
    <t>Károlyi Elisabeth (szerk.)</t>
  </si>
  <si>
    <t xml:space="preserve"> Régiók Európában. Adminisztratív struktúrák és területi identitás</t>
  </si>
  <si>
    <t>_1253</t>
  </si>
  <si>
    <t>Kiss Ambrus - Krausz Péter (szerk.)</t>
  </si>
  <si>
    <t xml:space="preserve"> Veszélybe sodort jövő</t>
  </si>
  <si>
    <t>_1252</t>
  </si>
  <si>
    <t>Kiss Ambrus, Krausz Péter(szerk.)</t>
  </si>
  <si>
    <t xml:space="preserve"> A válság második hulláma. Elemzések az Orbán-kormány második évérôl</t>
  </si>
  <si>
    <t>_1254</t>
  </si>
  <si>
    <t>Kiss Ambrus–Krausz Péter (szerk.)</t>
  </si>
  <si>
    <t xml:space="preserve"> Ezt hozta a fülkeforradalom! Elemzések az Orbán-kormány négy évéről</t>
  </si>
  <si>
    <t>_1255</t>
  </si>
  <si>
    <t xml:space="preserve"> Politika és diskurzus. Szabó Márton politikafilozófiai invenciója</t>
  </si>
  <si>
    <t>_1256</t>
  </si>
  <si>
    <t>Koller Boglárka</t>
  </si>
  <si>
    <t xml:space="preserve"> Nemzet, identitás és politika Európában</t>
  </si>
  <si>
    <t>_1257</t>
  </si>
  <si>
    <t>Körösényi András</t>
  </si>
  <si>
    <t xml:space="preserve"> Vezér és demokrácia (Politikaelméleti tanulmányok)</t>
  </si>
  <si>
    <t>_1258</t>
  </si>
  <si>
    <t>Krizmanits József (szerk.)</t>
  </si>
  <si>
    <t xml:space="preserve"> Vallási fundamentalizmus</t>
  </si>
  <si>
    <t>_1260</t>
  </si>
  <si>
    <t>M. Tóth Balázs - Pap András László</t>
  </si>
  <si>
    <t xml:space="preserve"> A hatékonyság mítosza.Az etnikai profi lalkotás alkotmányos és rendészeti kérdőjelei</t>
  </si>
  <si>
    <t>_1261</t>
  </si>
  <si>
    <t>Majtényi Balázs, Gianfranco Tamburelli</t>
  </si>
  <si>
    <t xml:space="preserve"> Sustainable development and transboundry</t>
  </si>
  <si>
    <t>_1262</t>
  </si>
  <si>
    <t>Martin József</t>
  </si>
  <si>
    <t xml:space="preserve"> A rendszerváltás igézetében</t>
  </si>
  <si>
    <t>_1264</t>
  </si>
  <si>
    <t>Molnár Katalin</t>
  </si>
  <si>
    <t xml:space="preserve"> Társadalom - demokrácia - szolidaritás. Tanulmánykötet Kozáry Andrea tiszteletére</t>
  </si>
  <si>
    <t>_1266</t>
  </si>
  <si>
    <t>Novák Zoltán és Szentpéteri Nagy Richard (szerk.)</t>
  </si>
  <si>
    <t xml:space="preserve"> A nyugattalan Magyarország. Variációk hagyományváltásra</t>
  </si>
  <si>
    <t>_1265</t>
  </si>
  <si>
    <t>Novák Zoltán- Szentpéteri Nagy Richard</t>
  </si>
  <si>
    <t xml:space="preserve"> Köztes demokrácia</t>
  </si>
  <si>
    <t>_1267</t>
  </si>
  <si>
    <t>Novák Zoltán, Pétervári Zsolt, Szentpéteri Nagy Richard (szerk.)</t>
  </si>
  <si>
    <t xml:space="preserve"> Konszenzus és küzdelem</t>
  </si>
  <si>
    <t>_1269</t>
  </si>
  <si>
    <t>Palonen Kari</t>
  </si>
  <si>
    <t xml:space="preserve"> Küzdelem az idővel - A cselekvő politika fogalomtörténete</t>
  </si>
  <si>
    <t>_1270</t>
  </si>
  <si>
    <t>Pankovits József</t>
  </si>
  <si>
    <t xml:space="preserve"> Az olasz baloldal.Antonio Gramscitól a Demokratikus Pártig Eszmélet Alapítvány</t>
  </si>
  <si>
    <t>_1272</t>
  </si>
  <si>
    <t>Simon János (szerk.)</t>
  </si>
  <si>
    <t xml:space="preserve"> Globalizáció, regionalizáció és nemzetállamiság</t>
  </si>
  <si>
    <t>_1273</t>
  </si>
  <si>
    <t>Simon János(szerk.)</t>
  </si>
  <si>
    <t xml:space="preserve"> Civil társadalom és érdekképviselet Közép-Európában</t>
  </si>
  <si>
    <t>_1275</t>
  </si>
  <si>
    <t>Simon János</t>
  </si>
  <si>
    <t xml:space="preserve"> A politika értékválságban</t>
  </si>
  <si>
    <t>_1274</t>
  </si>
  <si>
    <t xml:space="preserve"> Értékválság a politikában. A demokratikus politikai kultúra keresése (</t>
  </si>
  <si>
    <t>_1276</t>
  </si>
  <si>
    <t xml:space="preserve"> Globalizáció és nemzet</t>
  </si>
  <si>
    <t>_1276a</t>
  </si>
  <si>
    <t>Hét választás Magyarországon 1989-2014</t>
  </si>
  <si>
    <t>_1277</t>
  </si>
  <si>
    <t xml:space="preserve"> Politikai helyzetkép 2014</t>
  </si>
  <si>
    <t>_1278</t>
  </si>
  <si>
    <t>Sipos Balázs (szerk.)</t>
  </si>
  <si>
    <t xml:space="preserve"> Sokszínű politikatudomány</t>
  </si>
  <si>
    <t>_1279</t>
  </si>
  <si>
    <t>Strausz Péter - Zachar Péter Krisztián</t>
  </si>
  <si>
    <t xml:space="preserve"> Gazdasági és szakmai kamarák Magyarországon és az Európai Unióban</t>
  </si>
  <si>
    <t>_1281</t>
  </si>
  <si>
    <t xml:space="preserve"> Láthatatlan történelem. Politikai anekdoták 1942–2012</t>
  </si>
  <si>
    <t>_1280</t>
  </si>
  <si>
    <t xml:space="preserve"> Nemzet és szocializáció. A politika szerepe az identitások formálódásában Magyarországon 1867–2006</t>
  </si>
  <si>
    <t>_1282</t>
  </si>
  <si>
    <t>Szabó Márton (szerk.)</t>
  </si>
  <si>
    <t xml:space="preserve"> Fideszvalóság</t>
  </si>
  <si>
    <t>_1283</t>
  </si>
  <si>
    <t>Szabó Márton</t>
  </si>
  <si>
    <t xml:space="preserve"> A diszkurzív politikatudomány alapjai</t>
  </si>
  <si>
    <t>_1284</t>
  </si>
  <si>
    <t xml:space="preserve"> Kötőjelek</t>
  </si>
  <si>
    <t>_1286</t>
  </si>
  <si>
    <t xml:space="preserve"> Politikai episztemológia</t>
  </si>
  <si>
    <t>_1287</t>
  </si>
  <si>
    <t xml:space="preserve"> Politikai idegen</t>
  </si>
  <si>
    <t>_1288</t>
  </si>
  <si>
    <t>Szalai Erzsébet</t>
  </si>
  <si>
    <t xml:space="preserve"> Globális válság – magyar válság – alternatívák</t>
  </si>
  <si>
    <t>_1289</t>
  </si>
  <si>
    <t>Szénási Éva (szerk.)</t>
  </si>
  <si>
    <t xml:space="preserve"> Elméletek az Európai egységről I.</t>
  </si>
  <si>
    <t>_1290</t>
  </si>
  <si>
    <t xml:space="preserve"> Elméletek az Európai egységről II.</t>
  </si>
  <si>
    <t>_1291</t>
  </si>
  <si>
    <t>Szénási Éva</t>
  </si>
  <si>
    <t xml:space="preserve"> Az egységes Európa. Az európai integráció története</t>
  </si>
  <si>
    <t>_1294</t>
  </si>
  <si>
    <t>Szűcs Zoltán Gábor</t>
  </si>
  <si>
    <t xml:space="preserve"> A hatalom ködében</t>
  </si>
  <si>
    <t>_1293</t>
  </si>
  <si>
    <t xml:space="preserve"> Az antalli pillanat A nemzeti történelem szerepe a magyar politikai diskurzusban 1989–1993</t>
  </si>
  <si>
    <t>_1295</t>
  </si>
  <si>
    <t>Tóth Norbert</t>
  </si>
  <si>
    <t xml:space="preserve"> A Kisebbségi területi autonómia elmélete és gyakorlata.</t>
  </si>
  <si>
    <t>_1296</t>
  </si>
  <si>
    <t>Tőkés Rudolf</t>
  </si>
  <si>
    <t xml:space="preserve"> A harmadik magyar köztársaság születése</t>
  </si>
  <si>
    <t>_1297</t>
  </si>
  <si>
    <t>Vizi Balázs</t>
  </si>
  <si>
    <t xml:space="preserve"> Európai kaleidoszkóp – Az Európai Unió és a kisebbségek</t>
  </si>
  <si>
    <t>_1298</t>
  </si>
  <si>
    <t>Wallerstein Immanuel</t>
  </si>
  <si>
    <t xml:space="preserve"> Bevezetés a világrendszer-elméletbe</t>
  </si>
  <si>
    <t>_1299</t>
  </si>
  <si>
    <t>Wiener György</t>
  </si>
  <si>
    <t xml:space="preserve"> Értekezések a materialista történetfelfogásról. Történelemelméleti és politológiai tanulmányok</t>
  </si>
  <si>
    <t>_1300</t>
  </si>
  <si>
    <t>Zárug Péter Farkas</t>
  </si>
  <si>
    <t xml:space="preserve"> Csapdába került demokrácia</t>
  </si>
  <si>
    <t>_1301</t>
  </si>
  <si>
    <t xml:space="preserve"> Leviatán ébredése</t>
  </si>
  <si>
    <t>_1400</t>
  </si>
  <si>
    <t>Bagdy Emőke</t>
  </si>
  <si>
    <t xml:space="preserve"> Pszichofitness</t>
  </si>
  <si>
    <t>Tudomány / Pszichológia</t>
  </si>
  <si>
    <t>_1401</t>
  </si>
  <si>
    <t>Bodor Péter</t>
  </si>
  <si>
    <t xml:space="preserve"> Emlékezés, identitás, diskurzus</t>
  </si>
  <si>
    <t>_1402</t>
  </si>
  <si>
    <t xml:space="preserve"> On Emotions - A Developmental Social Constructionist Account</t>
  </si>
  <si>
    <t>_1403</t>
  </si>
  <si>
    <t>Bokor Miklós és Wiener Pál</t>
  </si>
  <si>
    <t xml:space="preserve"> Leszámolhatunk-e Hitlerrel? Pszichoanalitikus szemléletű tanulmány</t>
  </si>
  <si>
    <t>_1404</t>
  </si>
  <si>
    <t>Buda Béla</t>
  </si>
  <si>
    <t xml:space="preserve"> Empátia.A beleélés lélektana. Folyamatok, alkalmazások, új szempontok</t>
  </si>
  <si>
    <t>_1405</t>
  </si>
  <si>
    <t>C. Molnár Emma–Hidas Judit</t>
  </si>
  <si>
    <t xml:space="preserve"> Anyátlan nemzedék</t>
  </si>
  <si>
    <t>_1406</t>
  </si>
  <si>
    <t>Császár-Nagy Noémi, Demetrovics Zsolt, Vargha András(szerk.)</t>
  </si>
  <si>
    <t xml:space="preserve"> A klinikai pszichológia horizontja</t>
  </si>
  <si>
    <t>_1409</t>
  </si>
  <si>
    <t>Dolto Françoise</t>
  </si>
  <si>
    <t xml:space="preserve"> Amikor a gyermek megjelenik</t>
  </si>
  <si>
    <t>_1410</t>
  </si>
  <si>
    <t xml:space="preserve"> Amikor a gyermek megjelenik - 2. kötet</t>
  </si>
  <si>
    <t>_1411</t>
  </si>
  <si>
    <t>Dúll Andrea, Varga Katalin (szerk.)</t>
  </si>
  <si>
    <t xml:space="preserve"> Rábeszélőtér</t>
  </si>
  <si>
    <t>_1412</t>
  </si>
  <si>
    <t>Erdélyi Ágnes (szerk)</t>
  </si>
  <si>
    <t xml:space="preserve"> Pszichoanaltikus a társadalomban</t>
  </si>
  <si>
    <t>_1413</t>
  </si>
  <si>
    <t>Erdélyi Ildikó</t>
  </si>
  <si>
    <t xml:space="preserve"> A lélek színháza</t>
  </si>
  <si>
    <t>_1414</t>
  </si>
  <si>
    <t xml:space="preserve"> Kapcsolatban – Istennel és emberrel. Pszichológiai és bölcsészeti tanulmányok</t>
  </si>
  <si>
    <t>_1415</t>
  </si>
  <si>
    <t>Füzesséry Éva</t>
  </si>
  <si>
    <t xml:space="preserve"> Az Arkangyal tangója.Budapesttől Párizsig</t>
  </si>
  <si>
    <t>_1419</t>
  </si>
  <si>
    <t>Gőbel Orsolya</t>
  </si>
  <si>
    <t xml:space="preserve"> A szív érintése IV.</t>
  </si>
  <si>
    <t>_1418</t>
  </si>
  <si>
    <t xml:space="preserve"> Égig emelő légzés III.</t>
  </si>
  <si>
    <t>_1416</t>
  </si>
  <si>
    <t xml:space="preserve"> Mozgás a képzelet szárnyán - Varázsjátékok I.</t>
  </si>
  <si>
    <t>_1420</t>
  </si>
  <si>
    <t xml:space="preserve"> Önmagunkban elmélyülten V.</t>
  </si>
  <si>
    <t>_1421</t>
  </si>
  <si>
    <t xml:space="preserve"> Varázsjátékok VI. - Csupa szépeket tudok varázsolni</t>
  </si>
  <si>
    <t>_1422</t>
  </si>
  <si>
    <t xml:space="preserve"> Varázsjátékok VII. - Tanulni, örülni, szeretni</t>
  </si>
  <si>
    <t>_1429</t>
  </si>
  <si>
    <t>Keményné Dr. Pálffy Katalin</t>
  </si>
  <si>
    <t xml:space="preserve"> Személyiségpszichológia</t>
  </si>
  <si>
    <t>_1430</t>
  </si>
  <si>
    <t>Kende Anna (szerk.)</t>
  </si>
  <si>
    <t xml:space="preserve"> Pszichológia és feminizmus</t>
  </si>
  <si>
    <t>_1431</t>
  </si>
  <si>
    <t>Kissné Viszket Mónika (szerk.)</t>
  </si>
  <si>
    <t xml:space="preserve"> A pszichológiai tanácsadás perspektívái</t>
  </si>
  <si>
    <t>_1432</t>
  </si>
  <si>
    <t>Komlósi Piroska</t>
  </si>
  <si>
    <t xml:space="preserve"> Családi életre felkészítés</t>
  </si>
  <si>
    <t>_1434</t>
  </si>
  <si>
    <t>Korbai Hajnal (szerk.)</t>
  </si>
  <si>
    <t xml:space="preserve"> Lotilko szárnyai:  Terápiás történetek  és mesék traumát átélt gyerekeknek II.</t>
  </si>
  <si>
    <t>_1435</t>
  </si>
  <si>
    <t>Kovács Éva–Vidra Zsuzsanna–Virág Tünde</t>
  </si>
  <si>
    <t xml:space="preserve"> Kint és bent. Lokalitás és etnicitás a peremvidékeken</t>
  </si>
  <si>
    <t>_1436</t>
  </si>
  <si>
    <t>Kovai Melinda</t>
  </si>
  <si>
    <t xml:space="preserve"> Lélektan és politika</t>
  </si>
  <si>
    <t>_1441</t>
  </si>
  <si>
    <t>Pintér Judit Nóra</t>
  </si>
  <si>
    <t xml:space="preserve"> A nem múló jelen - Trauma és nosztalgia</t>
  </si>
  <si>
    <t>_1445</t>
  </si>
  <si>
    <t>Spannraft Marcellina–Sepsi –Bagdy – Komlósi – Grezsa</t>
  </si>
  <si>
    <t xml:space="preserve"> Ki látott engem? Buda Béla 75</t>
  </si>
  <si>
    <t>_1446</t>
  </si>
  <si>
    <t>Szummer Csaba</t>
  </si>
  <si>
    <t xml:space="preserve"> Freud, avagy a modernitás mítosza</t>
  </si>
  <si>
    <t>_1448</t>
  </si>
  <si>
    <t>Varga Katalin és Gősiné Greguss Anna (szerk.)</t>
  </si>
  <si>
    <t xml:space="preserve"> Tudatállapotok, hipnózis, egymásra hangolódás</t>
  </si>
  <si>
    <t>_1449</t>
  </si>
  <si>
    <t>Vass Zoltán</t>
  </si>
  <si>
    <t xml:space="preserve"> A képi kifejezéspszichológia alapkérdései. Szemlélet és módszer</t>
  </si>
  <si>
    <t>_1417</t>
  </si>
  <si>
    <t xml:space="preserve"> Varázsjátékok II. - A fantázia tengerén</t>
  </si>
  <si>
    <t>_1447</t>
  </si>
  <si>
    <t xml:space="preserve"> Pszichedelikumok és spiritualitás</t>
  </si>
  <si>
    <t>_1408</t>
  </si>
  <si>
    <t>Davis Nancy, Laura Simms, Korbai Hajnal</t>
  </si>
  <si>
    <t xml:space="preserve"> Az aranytök. (bővített, átdolgozott kiadás)</t>
  </si>
  <si>
    <t>_1500</t>
  </si>
  <si>
    <t>Anders Alexandra - Szabó Miklós  - Raczky Pál (szerk.)</t>
  </si>
  <si>
    <t xml:space="preserve"> Régészeti dimenziók</t>
  </si>
  <si>
    <t>Tudomány / Régészet</t>
  </si>
  <si>
    <t>_1501</t>
  </si>
  <si>
    <t>Bartosiewitz László</t>
  </si>
  <si>
    <t xml:space="preserve"> Régenvolt háziállatok</t>
  </si>
  <si>
    <t>_1506</t>
  </si>
  <si>
    <t>Langó Péter</t>
  </si>
  <si>
    <t xml:space="preserve"> Amit elrejt a föld... A 10. századi magyarság anyagi kultúrájának régészeti kutatása a Kárpát-medencében</t>
  </si>
  <si>
    <t>_1507</t>
  </si>
  <si>
    <t>Raczky Pál, Somogyi Péter</t>
  </si>
  <si>
    <t xml:space="preserve"> Byzantinische Fundmünzen der Awarenzeit</t>
  </si>
  <si>
    <t>_1509</t>
  </si>
  <si>
    <t>Szabó Miklós</t>
  </si>
  <si>
    <t xml:space="preserve"> A keleti kelták - A késő vaskor a Kárpát-medencében</t>
  </si>
  <si>
    <t>_1511</t>
  </si>
  <si>
    <t>Szabó Miklós–Borhy László</t>
  </si>
  <si>
    <t xml:space="preserve"> Magyarország története az ókorban:  Kelták és rómaiak</t>
  </si>
  <si>
    <t>_1513</t>
  </si>
  <si>
    <t>Vicze Magdolna</t>
  </si>
  <si>
    <t xml:space="preserve"> Bronze Age Cemetery at Dunaújváros- Duna-dűlő</t>
  </si>
  <si>
    <t>_1515</t>
  </si>
  <si>
    <t>Zoltán Czajlik et Claude Mordant (szerk.)</t>
  </si>
  <si>
    <t xml:space="preserve"> NOUVELLES APPROCHES EN ANTHROPOLOGIE ET EN ARCHÉOLOGIE FUNÉRAIRE</t>
  </si>
  <si>
    <t>_1516</t>
  </si>
  <si>
    <t>Zsuzsanna Siklósi</t>
  </si>
  <si>
    <t xml:space="preserve"> Traces of Social inequality during the late neolithic in the eastern carpathian basin</t>
  </si>
  <si>
    <t>_1505</t>
  </si>
  <si>
    <t>Kalicz-Schreiber Rózsa</t>
  </si>
  <si>
    <t xml:space="preserve"> Ein Gräberfeld der Spätbronzezeit von Budapest-Békásmegyer</t>
  </si>
  <si>
    <t>_1508</t>
  </si>
  <si>
    <t>Szabó Miklós (sous la direction de)</t>
  </si>
  <si>
    <t xml:space="preserve"> La nécropole celtique à Ludas – Varjú-dűlő</t>
  </si>
  <si>
    <t>_1510</t>
  </si>
  <si>
    <t xml:space="preserve"> L'habitat de l'époque de la Téne á Sajópetri Hosszú-dűlő</t>
  </si>
  <si>
    <t>_2312a</t>
  </si>
  <si>
    <t xml:space="preserve"> Being Hungarian. 50 Facts &amp; Facets of Nationhood</t>
  </si>
  <si>
    <t>Tudomány / Szociológia</t>
  </si>
  <si>
    <t>_1600</t>
  </si>
  <si>
    <t>Ariés Paul</t>
  </si>
  <si>
    <t xml:space="preserve"> A McDonald's gyermekei</t>
  </si>
  <si>
    <t>_1602</t>
  </si>
  <si>
    <t>Bató Szilvia</t>
  </si>
  <si>
    <t xml:space="preserve"> Mert az Ördög velem volt. Élet elleni bűncselekmények a 19. század első felében</t>
  </si>
  <si>
    <t>_1603</t>
  </si>
  <si>
    <t>Bodor Péter (szerk.)</t>
  </si>
  <si>
    <t xml:space="preserve"> Szavak, képek, jelentés. Kvalitatív kutatási olvasókönyv</t>
  </si>
  <si>
    <t>_1604</t>
  </si>
  <si>
    <t>Bori István - Masát Ádám</t>
  </si>
  <si>
    <t xml:space="preserve"> A mai magyar társadalom</t>
  </si>
  <si>
    <t>_1605</t>
  </si>
  <si>
    <t>Bögre Zsuzsanna, Keszei András, Ö. Kovács József</t>
  </si>
  <si>
    <t xml:space="preserve"> Az identitások korlátai</t>
  </si>
  <si>
    <t>_1606</t>
  </si>
  <si>
    <t>Brubaker Rogers - Feischmidt Margit - Jon Fox - Liana Grancea</t>
  </si>
  <si>
    <t xml:space="preserve"> Nacionalista politika és hétköznapi etnicitás egy erdélyi városban</t>
  </si>
  <si>
    <t>_1607</t>
  </si>
  <si>
    <t>Brunczel Balázs</t>
  </si>
  <si>
    <t xml:space="preserve"> Modernitás illúziók nélkül. Niklas Luhmann társadalom- és politikaelmélete</t>
  </si>
  <si>
    <t>_1608</t>
  </si>
  <si>
    <t>Corbin-Strauss</t>
  </si>
  <si>
    <t xml:space="preserve"> A kvalitatív kutatás alapjai</t>
  </si>
  <si>
    <t>_1609</t>
  </si>
  <si>
    <t>Czibere Ibolya</t>
  </si>
  <si>
    <t xml:space="preserve"> Nők mélyszegénységben.</t>
  </si>
  <si>
    <t>_1610</t>
  </si>
  <si>
    <t>Csoba Judit</t>
  </si>
  <si>
    <t xml:space="preserve"> A tisztes munka. A teljes foglalkoztatás:  a 21. század esélye vagy utópiája?</t>
  </si>
  <si>
    <t>_1611</t>
  </si>
  <si>
    <t>Dávid Beáta -  Barna Ildikó -  Bóné Veronika  - Hegedűs Réka -  Izsák Éva</t>
  </si>
  <si>
    <t xml:space="preserve"> A rendszerváltás családtörténetei</t>
  </si>
  <si>
    <t>_1612</t>
  </si>
  <si>
    <t>Fábiánné Andrónyi Katalin</t>
  </si>
  <si>
    <t xml:space="preserve"> Romológia</t>
  </si>
  <si>
    <t>_1615</t>
  </si>
  <si>
    <t>Farkas Péter</t>
  </si>
  <si>
    <t xml:space="preserve"> A szeretet civilizációjáért</t>
  </si>
  <si>
    <t>_1616</t>
  </si>
  <si>
    <t xml:space="preserve"> A szeretet és az élet bölcsője</t>
  </si>
  <si>
    <t>_1614</t>
  </si>
  <si>
    <t xml:space="preserve"> A szeretet közössége. A családszociológia alapjai</t>
  </si>
  <si>
    <t>_1617</t>
  </si>
  <si>
    <t xml:space="preserve"> Egymásba kapaszkodva - Település és közösségfejlesztés a globalizáció korában</t>
  </si>
  <si>
    <t>_1618</t>
  </si>
  <si>
    <t>Feischmidt Margit</t>
  </si>
  <si>
    <t xml:space="preserve"> Nemzet a mindennapokban</t>
  </si>
  <si>
    <t>_1619</t>
  </si>
  <si>
    <t>Ferge Zsuzsa</t>
  </si>
  <si>
    <t xml:space="preserve"> Vágányok és vakvágányok a társadalompolitikában. Válogatott tanulmányok</t>
  </si>
  <si>
    <t>_1620</t>
  </si>
  <si>
    <t>Fliegauf Gergely - Ránki Sára</t>
  </si>
  <si>
    <t xml:space="preserve"> Fogva tartott gondolatok</t>
  </si>
  <si>
    <t>_1621</t>
  </si>
  <si>
    <t>Hankiss - Füstös - Antalóczy</t>
  </si>
  <si>
    <t xml:space="preserve"> (Vész)jelzések a kultúráról</t>
  </si>
  <si>
    <t>_1622</t>
  </si>
  <si>
    <t>Hankiss Elemér</t>
  </si>
  <si>
    <t xml:space="preserve"> Egy ország arcai. Válogatott szociológiai tanulmányok 1977-2012</t>
  </si>
  <si>
    <t>_1623</t>
  </si>
  <si>
    <t>Hidas Zoltán (szerk.)</t>
  </si>
  <si>
    <t xml:space="preserve"> Ars Sociologica. Vallomások a szociológiáról mint hivatásról.</t>
  </si>
  <si>
    <t>_1625</t>
  </si>
  <si>
    <t>Horváth Júlia Borbála</t>
  </si>
  <si>
    <t xml:space="preserve"> Lánylegény</t>
  </si>
  <si>
    <t>_1624</t>
  </si>
  <si>
    <t xml:space="preserve"> Újnőkorszak</t>
  </si>
  <si>
    <t>_1626</t>
  </si>
  <si>
    <t>Huszár Ágnes</t>
  </si>
  <si>
    <t xml:space="preserve"> A nő terei</t>
  </si>
  <si>
    <t>_1628</t>
  </si>
  <si>
    <t>Jávor István - Rozgonyi Tamás</t>
  </si>
  <si>
    <t xml:space="preserve"> A szervezetek és a munka világa</t>
  </si>
  <si>
    <t>_1629</t>
  </si>
  <si>
    <t>Kangyal András és Laufer László(szerk.)</t>
  </si>
  <si>
    <t xml:space="preserve"> Gépérzet. Interfész, interakció, navigáció</t>
  </si>
  <si>
    <t>_1630</t>
  </si>
  <si>
    <t>Kapocs - Riport a családokról</t>
  </si>
  <si>
    <t>_1631</t>
  </si>
  <si>
    <t>Keszei András</t>
  </si>
  <si>
    <t xml:space="preserve"> Emlékek formájában</t>
  </si>
  <si>
    <t>_1632</t>
  </si>
  <si>
    <t xml:space="preserve"> Létkérdések a születés körül</t>
  </si>
  <si>
    <t>_1633</t>
  </si>
  <si>
    <t>Kiss Ambrus</t>
  </si>
  <si>
    <t xml:space="preserve"> Munkanélküliségről, foglalkoztatásról</t>
  </si>
  <si>
    <t>_1634</t>
  </si>
  <si>
    <t>Kovách Imre (szerk.)</t>
  </si>
  <si>
    <t xml:space="preserve"> Vidékiek és városiak. A tudás- és imázshasználat hatásai a vidéki Magyarországon</t>
  </si>
  <si>
    <t>_1635</t>
  </si>
  <si>
    <t>Könczei György</t>
  </si>
  <si>
    <t xml:space="preserve"> Az esélyegyenlőségtől a Taigetoszig?</t>
  </si>
  <si>
    <t>_1638</t>
  </si>
  <si>
    <t>Ladányi János</t>
  </si>
  <si>
    <t xml:space="preserve"> Leselejtezettek</t>
  </si>
  <si>
    <t>_1639</t>
  </si>
  <si>
    <t xml:space="preserve"> Önpusztító nemzeti habitus</t>
  </si>
  <si>
    <t>_1640</t>
  </si>
  <si>
    <t>Laki Ildikó</t>
  </si>
  <si>
    <t xml:space="preserve"> A nemzetközi és a hazai fogyatékos politika  </t>
  </si>
  <si>
    <t>_1641</t>
  </si>
  <si>
    <t>Letenyei László</t>
  </si>
  <si>
    <t xml:space="preserve"> Településkutatás</t>
  </si>
  <si>
    <t>_1642</t>
  </si>
  <si>
    <t>Murányi István (szerk.)</t>
  </si>
  <si>
    <t xml:space="preserve"> Eternal return? The Specter of Radicalism among Young People in Europe and Hungary</t>
  </si>
  <si>
    <t>_1643</t>
  </si>
  <si>
    <t>Nagy Beáta</t>
  </si>
  <si>
    <t xml:space="preserve"> Háttérben</t>
  </si>
  <si>
    <t>_1644</t>
  </si>
  <si>
    <t>Niedermüller - Horváth - Oblath - Zombory szerk.</t>
  </si>
  <si>
    <t xml:space="preserve"> Sokféle modernitás</t>
  </si>
  <si>
    <t>_1645</t>
  </si>
  <si>
    <t>Rácz Andrea</t>
  </si>
  <si>
    <t xml:space="preserve"> Barkácsolt életutak, szekvenciális(rendszer)igények</t>
  </si>
  <si>
    <t>_1646</t>
  </si>
  <si>
    <t>Rosta Andrea</t>
  </si>
  <si>
    <t xml:space="preserve"> A fiatalkorú bűnözés kriminológiája és szociológiája</t>
  </si>
  <si>
    <t>_1647</t>
  </si>
  <si>
    <t xml:space="preserve"> Női élethelyzetek</t>
  </si>
  <si>
    <t>_1648</t>
  </si>
  <si>
    <t>Sik Domonkos</t>
  </si>
  <si>
    <t xml:space="preserve"> Demokratikus kultúra és modernizáció. Állampolgári szocializáció 20 évvel a rendszerváltás után</t>
  </si>
  <si>
    <t>_1649</t>
  </si>
  <si>
    <t xml:space="preserve">Szabó Andrea </t>
  </si>
  <si>
    <t>A közfoglalkoztatás a gazdasági ciklusok kontextusában</t>
  </si>
  <si>
    <t>_1650</t>
  </si>
  <si>
    <t>Takács Judit(szerk.)</t>
  </si>
  <si>
    <t xml:space="preserve"> Homofóbia Magyarországon</t>
  </si>
  <si>
    <t>_1653</t>
  </si>
  <si>
    <t>Török Emőke</t>
  </si>
  <si>
    <t xml:space="preserve"> Munka és társadalom</t>
  </si>
  <si>
    <t>_1636</t>
  </si>
  <si>
    <t>Kuczi Tibor</t>
  </si>
  <si>
    <t xml:space="preserve"> Munkásprés.A munka kikényszerítésének története az ipari forradalomtól napjainkig</t>
  </si>
  <si>
    <t>_1700</t>
  </si>
  <si>
    <t>Amelier Lanier</t>
  </si>
  <si>
    <t xml:space="preserve"> Széchenyi István és Sina György közös</t>
  </si>
  <si>
    <t>Tudomány / Történelem - Magyar</t>
  </si>
  <si>
    <t>_1701</t>
  </si>
  <si>
    <t>Anka-Kovács-Ligeti-Makkai-Schwarczwölder (szerk.)</t>
  </si>
  <si>
    <t xml:space="preserve"> Natio est semper reformanda (Gergely András tiszteletére)</t>
  </si>
  <si>
    <t>_1702</t>
  </si>
  <si>
    <t xml:space="preserve"> A Johannita Rend Magyar Tagozatának arcképei </t>
  </si>
  <si>
    <t>_1703</t>
  </si>
  <si>
    <t>Balogh Gábor</t>
  </si>
  <si>
    <t xml:space="preserve"> A római katolikus egyház és a nemzetiszocialisták Mo-n</t>
  </si>
  <si>
    <t>_1704</t>
  </si>
  <si>
    <t>Balogh Judit</t>
  </si>
  <si>
    <t xml:space="preserve"> Székelyföldi karrierek</t>
  </si>
  <si>
    <t>_1705</t>
  </si>
  <si>
    <t>Bank Barbara, Gyarmati György, Palasik Mária</t>
  </si>
  <si>
    <t xml:space="preserve"> ÁLLAMI TITOK</t>
  </si>
  <si>
    <t>_1706</t>
  </si>
  <si>
    <t>Bánkuti Gábor és Gyarmati György</t>
  </si>
  <si>
    <t xml:space="preserve"> Csapdában.Tanulmányok a katolikus egyház történetéből, 1945-1989</t>
  </si>
  <si>
    <t>_1707</t>
  </si>
  <si>
    <t>Bánkuti Gábor</t>
  </si>
  <si>
    <t xml:space="preserve"> Jezsuiták a diktatúrában </t>
  </si>
  <si>
    <t>_1708</t>
  </si>
  <si>
    <t>Baráth Magdolna, Bánkuti Gábor és Rainer M. János(szerk)</t>
  </si>
  <si>
    <t xml:space="preserve"> Megértő történelem. Tanulmányok a hatvanéves Gyarmati György tiszteletére</t>
  </si>
  <si>
    <t>_1709</t>
  </si>
  <si>
    <t>Bartha Eszter és Varga Zsuzsanna (szerk.)</t>
  </si>
  <si>
    <t xml:space="preserve"> Határokon túl. </t>
  </si>
  <si>
    <t>_1710</t>
  </si>
  <si>
    <t>Benda Gyula</t>
  </si>
  <si>
    <t xml:space="preserve"> Zsellérből polgár - társadalmi változás egy dunántúli kisvárosban (Keszthely társadalma 1740-1849)</t>
  </si>
  <si>
    <t>_1711</t>
  </si>
  <si>
    <t>Bertalan Péter</t>
  </si>
  <si>
    <t xml:space="preserve"> Az Opus Deitől a Provida Materig</t>
  </si>
  <si>
    <t>_1712</t>
  </si>
  <si>
    <t>Birtalan Ágnes, Somfai Kara Dávid (szerk.)</t>
  </si>
  <si>
    <t xml:space="preserve"> Kőember állott a pusztán - Tanulmánykötet Mándoky Kongur István emlékére</t>
  </si>
  <si>
    <t>_1714</t>
  </si>
  <si>
    <t>Brubaker Rogers</t>
  </si>
  <si>
    <t xml:space="preserve"> Nacionalizmus új keretek között</t>
  </si>
  <si>
    <t>_1715</t>
  </si>
  <si>
    <t>Cseh Gergő Bendegúz-Okváth Imre (szerk.)</t>
  </si>
  <si>
    <t xml:space="preserve"> A megtorlás szervezete. A politikai rendőrség újjászervezése és működése 1956–1962-ig</t>
  </si>
  <si>
    <t>_1716</t>
  </si>
  <si>
    <t>Csepregi Klára, Csepregi Oszkár, Fülöp Áron, Illik Péter, Nánay Mihály, Weiszhár Attila</t>
  </si>
  <si>
    <t xml:space="preserve"> A történelem peremén</t>
  </si>
  <si>
    <t>_1717</t>
  </si>
  <si>
    <t>Cserényi-Zsitnyányi Ildikó</t>
  </si>
  <si>
    <t xml:space="preserve"> Kibányászott „lignitbűnök”. A Rákosi-korszak egy bányamérnökperének anatómiája</t>
  </si>
  <si>
    <t>_1719</t>
  </si>
  <si>
    <t>Csoma Mózes</t>
  </si>
  <si>
    <t xml:space="preserve"> 1989. Diszkózene a Kvangbok sugárúton</t>
  </si>
  <si>
    <t>_1720</t>
  </si>
  <si>
    <t>Deák Antal András - Amelie Lanier</t>
  </si>
  <si>
    <t xml:space="preserve"> Széchenyi István és Sina György közös vállalkozásai</t>
  </si>
  <si>
    <t>_1722</t>
  </si>
  <si>
    <t>Eörsi László</t>
  </si>
  <si>
    <t xml:space="preserve"> A Baross Köztársaság 1956. A VII. kerületi felkelőcsoportok</t>
  </si>
  <si>
    <t>_1723</t>
  </si>
  <si>
    <t>G. Etényi Nóra - Horn Ildikó (szerk.)</t>
  </si>
  <si>
    <t xml:space="preserve"> Portré és imázs</t>
  </si>
  <si>
    <t>_1724</t>
  </si>
  <si>
    <t>G. Etényi Nóra és Horn Ildikó (szerk.)</t>
  </si>
  <si>
    <t xml:space="preserve"> Színlelés és rejtőzködés. A kora újkori magyar politika szerepjátékai</t>
  </si>
  <si>
    <t>_1725</t>
  </si>
  <si>
    <t>G. Etényi Nóra</t>
  </si>
  <si>
    <t xml:space="preserve"> Pamflet és politika. A hatalmi egyensúly és Magyarország a 17. századi német propagandában</t>
  </si>
  <si>
    <t>_1726</t>
  </si>
  <si>
    <t>Gazsó - Zelei Miklós</t>
  </si>
  <si>
    <t xml:space="preserve"> Az elrabolt emberöltő</t>
  </si>
  <si>
    <t>_1727</t>
  </si>
  <si>
    <t>Géra Eleonóra</t>
  </si>
  <si>
    <t xml:space="preserve"> Kőhalomból (fő)város – Buda város hétköznapjai a 18. század elején</t>
  </si>
  <si>
    <t>_1728_1</t>
  </si>
  <si>
    <t>Gergely Jenő (szerk.)</t>
  </si>
  <si>
    <t xml:space="preserve"> Autonómiák Magyarországon I.</t>
  </si>
  <si>
    <t>_1728_2</t>
  </si>
  <si>
    <t xml:space="preserve"> Autonómiák Magyarországon II.</t>
  </si>
  <si>
    <t>_1728_3</t>
  </si>
  <si>
    <t xml:space="preserve"> Autonómiák Magyarországon III.</t>
  </si>
  <si>
    <t>_1729</t>
  </si>
  <si>
    <t xml:space="preserve"> Autonomien in Ungarn 1848-2000</t>
  </si>
  <si>
    <t>_1730</t>
  </si>
  <si>
    <t xml:space="preserve"> Fejezetek az új- és jelenkori magyar történelemből</t>
  </si>
  <si>
    <t>_1731</t>
  </si>
  <si>
    <t>Gergely Jenő</t>
  </si>
  <si>
    <t xml:space="preserve"> Being Hungarian - Christian - European</t>
  </si>
  <si>
    <t>_1732</t>
  </si>
  <si>
    <t>Glósz József</t>
  </si>
  <si>
    <t xml:space="preserve"> Gabonakereskedelem Magyarországon a 19. század első felében</t>
  </si>
  <si>
    <t>_1734</t>
  </si>
  <si>
    <t>Gudor Borond, Kurucz György, Sepsi Enikő (szerk.)</t>
  </si>
  <si>
    <t xml:space="preserve"> Egyház, társadalom és művelődés Bod Péter korában</t>
  </si>
  <si>
    <t>_1737</t>
  </si>
  <si>
    <t>Gyarmati György és Palasik Mária(szerk.)</t>
  </si>
  <si>
    <t xml:space="preserve"> A Nagy Testvér szatócsboltja</t>
  </si>
  <si>
    <t>_1738</t>
  </si>
  <si>
    <t>Gyarmati György</t>
  </si>
  <si>
    <t xml:space="preserve"> Kísértő közelmúlt</t>
  </si>
  <si>
    <t>_1739</t>
  </si>
  <si>
    <t>Gyarmati György (szerk.)</t>
  </si>
  <si>
    <t xml:space="preserve"> Páneurópai piknik - 1. kiadás - német</t>
  </si>
  <si>
    <t>_1740</t>
  </si>
  <si>
    <t xml:space="preserve"> Páneurópai piknik - 2. kiadás - magyar</t>
  </si>
  <si>
    <t>_1740a</t>
  </si>
  <si>
    <t>_1741</t>
  </si>
  <si>
    <t>Gyarmati György–Palasik Mária (szerk.)</t>
  </si>
  <si>
    <t xml:space="preserve"> Trójai faló a Belügyminisztériumban. Az ÁVH szervezete és vezérkara 1953–1956</t>
  </si>
  <si>
    <t>_1742</t>
  </si>
  <si>
    <t>György Gyarmati; Mária Palasik</t>
  </si>
  <si>
    <t xml:space="preserve"> Big brother’s miserable little grocery store</t>
  </si>
  <si>
    <t>_1743</t>
  </si>
  <si>
    <t>Hatos-Novák</t>
  </si>
  <si>
    <t xml:space="preserve"> Kisebbség és többség közt</t>
  </si>
  <si>
    <t>_1745</t>
  </si>
  <si>
    <t>Horn Ildikó - Várkonyi Gábor (szerk.)</t>
  </si>
  <si>
    <t xml:space="preserve"> Művészet és mesterség - I.</t>
  </si>
  <si>
    <t>_1746</t>
  </si>
  <si>
    <t xml:space="preserve"> Művészet és mesterség - II.</t>
  </si>
  <si>
    <t>_1748</t>
  </si>
  <si>
    <t>Horváth Erzsébet  és Literáty Zoltán (szerk.)</t>
  </si>
  <si>
    <t xml:space="preserve"> Történelmet írunk.Tisztelgő kötet Ladányi Sándor 75. születésnapja alkalmából</t>
  </si>
  <si>
    <t>_1749</t>
  </si>
  <si>
    <t>Horváth Erzsébet</t>
  </si>
  <si>
    <t xml:space="preserve"> Studies in the history of the reformed church in Hungary</t>
  </si>
  <si>
    <t>_1750</t>
  </si>
  <si>
    <t>Horváth Jenő</t>
  </si>
  <si>
    <t xml:space="preserve"> A Milleniumtól Trianonig</t>
  </si>
  <si>
    <t>_1752</t>
  </si>
  <si>
    <t>Illik Péter</t>
  </si>
  <si>
    <t xml:space="preserve"> Metszetek a török kor mindennapjaiból</t>
  </si>
  <si>
    <t>_1753</t>
  </si>
  <si>
    <t xml:space="preserve"> Minden nap háború</t>
  </si>
  <si>
    <t>_1751</t>
  </si>
  <si>
    <t xml:space="preserve"> Történészek, viták a 16–17. századi magyar történelemről</t>
  </si>
  <si>
    <t>_1755</t>
  </si>
  <si>
    <t>Jakab Réka</t>
  </si>
  <si>
    <t xml:space="preserve"> Bérlőből polgár - Pápa város zsidó közösségének társadalom- és gazdaságtörténete, 1748–1848</t>
  </si>
  <si>
    <t>_1756</t>
  </si>
  <si>
    <t>Kádár Lynn Katalin (szerk.)</t>
  </si>
  <si>
    <t xml:space="preserve"> Magyarország 1938. Egy amerikai szemével. Szerencsés Károly esszéi és Margaret Bourke-White fotói</t>
  </si>
  <si>
    <t>_1757</t>
  </si>
  <si>
    <t>Kádár Lynn Katalin</t>
  </si>
  <si>
    <t xml:space="preserve"> Eckhardt Tibor amerikai évei 1941-1972</t>
  </si>
  <si>
    <t>_1758</t>
  </si>
  <si>
    <t>Kádár-Lynn Katalin (szerk.)</t>
  </si>
  <si>
    <t xml:space="preserve"> Királygyilkosság Marseillesben - Eckhardt Tibor emlékiratai</t>
  </si>
  <si>
    <t>_1759</t>
  </si>
  <si>
    <t>Kanyó Tamás</t>
  </si>
  <si>
    <t xml:space="preserve"> Emigráció és identitás - 56-os menekültek Svájcban</t>
  </si>
  <si>
    <t>_1761</t>
  </si>
  <si>
    <t>Kármán Gábor</t>
  </si>
  <si>
    <t xml:space="preserve"> Egy közép-európai odüsszeia a 17. században:  Harsányi Nagy Jakab élete</t>
  </si>
  <si>
    <t>_1762</t>
  </si>
  <si>
    <t xml:space="preserve"> Erdélyi külpolitika a vesztfáliai béke után</t>
  </si>
  <si>
    <t>_1763</t>
  </si>
  <si>
    <t>Keller Márkus</t>
  </si>
  <si>
    <t xml:space="preserve"> A tanárok helye</t>
  </si>
  <si>
    <t>_1764</t>
  </si>
  <si>
    <t>Kiss Réka - Soós Viktor Attila - Tabajdi Gábor</t>
  </si>
  <si>
    <t xml:space="preserve"> Hogyan üldözzünk egyházakat?</t>
  </si>
  <si>
    <t>_1765</t>
  </si>
  <si>
    <t>Koudela Pál</t>
  </si>
  <si>
    <t xml:space="preserve"> Mágócsy-Dietz Sándor. Mindennapi történet egy egyetemi tanárról</t>
  </si>
  <si>
    <t>_1766</t>
  </si>
  <si>
    <t xml:space="preserve"> Négy felvidéki város</t>
  </si>
  <si>
    <t>_1767</t>
  </si>
  <si>
    <t>Kovács András</t>
  </si>
  <si>
    <t xml:space="preserve"> Épületek emlékezete. Nevezetes épületek Erdélyben</t>
  </si>
  <si>
    <t>_1769</t>
  </si>
  <si>
    <t>Köpeczi Bócz Edit</t>
  </si>
  <si>
    <t xml:space="preserve"> A titkosszolgálatok hálójában. Mindszenty József a lélekmentő bíboros, hercegprímás</t>
  </si>
  <si>
    <t>_1770</t>
  </si>
  <si>
    <t>Krahulcsán - Müller- Takács (szerk.)</t>
  </si>
  <si>
    <t xml:space="preserve"> Állambiztonság és olimpia (1956-1988)</t>
  </si>
  <si>
    <t>_1771</t>
  </si>
  <si>
    <t>Krahulcsán Zsolt - Müller Rolf</t>
  </si>
  <si>
    <t xml:space="preserve"> Dokumentumok a magyar politikai rendőrség történetéből</t>
  </si>
  <si>
    <t>_1772</t>
  </si>
  <si>
    <t>Krahulcsán Zsolt</t>
  </si>
  <si>
    <t xml:space="preserve"> A Párt belügye. A politikai rendőrség és az MSZMP a korai Kádár-korszakban (1956–1962)</t>
  </si>
  <si>
    <t>_1773</t>
  </si>
  <si>
    <t>Krahulcsán-Müller</t>
  </si>
  <si>
    <t xml:space="preserve"> Dokumentumok II. Az Államvédelmi Osztály 1946-1948</t>
  </si>
  <si>
    <t>_1774</t>
  </si>
  <si>
    <t>Krausz Tamás és Vértes Judit (szerk.)</t>
  </si>
  <si>
    <t>1919:  A Magyarországi Tanácsköztársaság és a kelet-európai forradalmak</t>
  </si>
  <si>
    <t>_1775</t>
  </si>
  <si>
    <t>Krausz Tamás, Mitrovits Miklós, Zahorán Csaba (szerk.)</t>
  </si>
  <si>
    <t xml:space="preserve"> Rendszerváltás és történelem. Tanulmányok a kelet-európai átalakulásról</t>
  </si>
  <si>
    <t>_1776</t>
  </si>
  <si>
    <t>Krausz Tamás–Varga Éva Mária (szerk.)</t>
  </si>
  <si>
    <t xml:space="preserve"> A magyar megszálló csapatok a Szovjetunióban – Levéltári dokumentumok 1941–1947</t>
  </si>
  <si>
    <t>_1777</t>
  </si>
  <si>
    <t>Lackó Mihály</t>
  </si>
  <si>
    <t xml:space="preserve"> Széchenyi elájul - Pszichotörténeti tanulmányok</t>
  </si>
  <si>
    <t>_1778</t>
  </si>
  <si>
    <t>Landauer Attila (szerk.)</t>
  </si>
  <si>
    <t xml:space="preserve"> A Kárpát medencei cigányság...</t>
  </si>
  <si>
    <t>_1779</t>
  </si>
  <si>
    <t>Lipták Dorottya</t>
  </si>
  <si>
    <t xml:space="preserve"> Újságok és újságolvasók Ferenc József korában</t>
  </si>
  <si>
    <t>_1780</t>
  </si>
  <si>
    <t>Makkai Béla (szerk.)</t>
  </si>
  <si>
    <t xml:space="preserve"> A felvidék krónikása (Popély)</t>
  </si>
  <si>
    <t>_1781</t>
  </si>
  <si>
    <t>Márton Tünde Mária(szerk.)</t>
  </si>
  <si>
    <t xml:space="preserve"> A Szent-Erzsébet Ispotály számadáskönyvei 1601-1650</t>
  </si>
  <si>
    <t>_1782</t>
  </si>
  <si>
    <t>Miru György</t>
  </si>
  <si>
    <t xml:space="preserve"> Az alkotmányozás politikai nyelve</t>
  </si>
  <si>
    <t>_1784</t>
  </si>
  <si>
    <t>Müller Rolf és Takács Tibor (szerk.)</t>
  </si>
  <si>
    <t xml:space="preserve"> Szigorúan titkos '89.A magyar állambiztonsági szervek munkabeszámolói</t>
  </si>
  <si>
    <t>_1785</t>
  </si>
  <si>
    <t>Müller Rolf</t>
  </si>
  <si>
    <t xml:space="preserve"> Titkok - Képek - Nyolcvanas évek /The Secret Pictures of the Eighties</t>
  </si>
  <si>
    <t>_1786</t>
  </si>
  <si>
    <t>Nagy-Alpár Csaba</t>
  </si>
  <si>
    <t xml:space="preserve"> A dél-erdélyi református egyházkerületi rész története</t>
  </si>
  <si>
    <t>_1788</t>
  </si>
  <si>
    <t>Okváth Imre (szerk.)</t>
  </si>
  <si>
    <t xml:space="preserve"> Egy hadmérnök életútja. Haris Béla 1901-1979</t>
  </si>
  <si>
    <t>_1789</t>
  </si>
  <si>
    <t>Oláh Anna</t>
  </si>
  <si>
    <t xml:space="preserve"> Bolyai Farkas hőtani elméletei, kemencerakó, -öntő tapasztalatai</t>
  </si>
  <si>
    <t>_1790</t>
  </si>
  <si>
    <t>Ólmosi-Szabó(szerk)</t>
  </si>
  <si>
    <t>Amikor "fellazult tételben fogalmazódodott meg a világ"</t>
  </si>
  <si>
    <t>_1793</t>
  </si>
  <si>
    <t>Papp Ágnes Klára, Sebők Melinda, Zsávolya Zoltán</t>
  </si>
  <si>
    <t xml:space="preserve"> Nemzet - sors - identitás</t>
  </si>
  <si>
    <t>_1794</t>
  </si>
  <si>
    <t>Perényi Roland</t>
  </si>
  <si>
    <t xml:space="preserve"> A bűn nyomában. A budapesti bűnözés társadalomtörténete 1896-1914</t>
  </si>
  <si>
    <t>_1795</t>
  </si>
  <si>
    <t>Péter Katalin</t>
  </si>
  <si>
    <t xml:space="preserve"> Házasság a régi Magyarországon. 16–17. század</t>
  </si>
  <si>
    <t>_1796</t>
  </si>
  <si>
    <t>Péterfi Gábor (szerk)</t>
  </si>
  <si>
    <t xml:space="preserve"> Népiblog</t>
  </si>
  <si>
    <t>_1797</t>
  </si>
  <si>
    <t>Péterfi Gábor(szerk.)</t>
  </si>
  <si>
    <t xml:space="preserve"> A huszadik század emlékezete a Galga mentén</t>
  </si>
  <si>
    <t>_1798</t>
  </si>
  <si>
    <t>Pozsonyi Zoltán</t>
  </si>
  <si>
    <t xml:space="preserve"> A Felsővályi Vincze család története. Karrierek és konfliktusok egy nagykun família életében (1745–1867)</t>
  </si>
  <si>
    <t>_1800</t>
  </si>
  <si>
    <t>Rainer M. János</t>
  </si>
  <si>
    <t xml:space="preserve"> Bevezetés  a kádárizmusba</t>
  </si>
  <si>
    <t>_1801</t>
  </si>
  <si>
    <t>Romsics Gergely</t>
  </si>
  <si>
    <t xml:space="preserve"> Mítosz és emlékezet</t>
  </si>
  <si>
    <t>_1802</t>
  </si>
  <si>
    <t>Rüsz-Fogarasi Enikő</t>
  </si>
  <si>
    <t xml:space="preserve"> Egy elfeledett intézmény. A kolozsvári Szentlélek-ispotály kora újkori története</t>
  </si>
  <si>
    <t>_1803</t>
  </si>
  <si>
    <t xml:space="preserve"> A forradalom visszanéz</t>
  </si>
  <si>
    <t>_1804</t>
  </si>
  <si>
    <t>Sebők Marcell</t>
  </si>
  <si>
    <t xml:space="preserve"> Humanista a határon</t>
  </si>
  <si>
    <t>_1806</t>
  </si>
  <si>
    <t>Simon István (szerk.)</t>
  </si>
  <si>
    <t xml:space="preserve"> Titkos történetek. Válogatás a Betekintő folyóirat első öt évfolyamából</t>
  </si>
  <si>
    <t>_1807</t>
  </si>
  <si>
    <t>Somogyi Éva</t>
  </si>
  <si>
    <t xml:space="preserve"> Hagyomány és átalakulás - Állam és bürokrácia a dualista Habsburg Monarchiában</t>
  </si>
  <si>
    <t>_1809</t>
  </si>
  <si>
    <t>Strausz Péter</t>
  </si>
  <si>
    <t xml:space="preserve"> Kamarák a két világháború közötti Magyarországon</t>
  </si>
  <si>
    <t>_1810</t>
  </si>
  <si>
    <t>Szabó Péter</t>
  </si>
  <si>
    <t xml:space="preserve"> Jelkép, rítus, udvari kultúra. A kora újkori Magyarországon</t>
  </si>
  <si>
    <t>_1812</t>
  </si>
  <si>
    <t>Szakály Sándor (szerk).</t>
  </si>
  <si>
    <t xml:space="preserve"> Székesfehérvár, Magyarország és a Nagy Háború – Egy ezred év viharaiban meg nem rendült törhetetlen hűség</t>
  </si>
  <si>
    <t>_1814</t>
  </si>
  <si>
    <t>Takács Tibor</t>
  </si>
  <si>
    <t xml:space="preserve"> Besúgók a besúgásról. Ügynök-visszaemlékezések a Kádár-korszakból</t>
  </si>
  <si>
    <t>_1815</t>
  </si>
  <si>
    <t xml:space="preserve"> Döntéshozók. Városi elit és városi önkormányzat Nyíregyházán a XX. század első felében</t>
  </si>
  <si>
    <t>_1816</t>
  </si>
  <si>
    <t>Tefner Zoltán</t>
  </si>
  <si>
    <t xml:space="preserve"> Az Osztrák-Magyar Monarchia lengyelpolitikája</t>
  </si>
  <si>
    <t>_1817</t>
  </si>
  <si>
    <t>Thoroczkay Gábor</t>
  </si>
  <si>
    <t xml:space="preserve"> Írások az Árpád-korról</t>
  </si>
  <si>
    <t>_1818</t>
  </si>
  <si>
    <t xml:space="preserve"> Ismeretlen Árpád-kor</t>
  </si>
  <si>
    <t>_1819</t>
  </si>
  <si>
    <t>Tóth Árpád</t>
  </si>
  <si>
    <t xml:space="preserve"> Önszervező polgárok - a pesti egyesületek társadalomtörténete a reformkorban</t>
  </si>
  <si>
    <t>_1820</t>
  </si>
  <si>
    <t>Bereczki Sándor, Czajlik Zoltán, Soós Zoltán (szerk.)</t>
  </si>
  <si>
    <t>Történelmi látképek. Erdélyi régészeti lelőhelyek és műemlékek légi felvételei</t>
  </si>
  <si>
    <t>_1821</t>
  </si>
  <si>
    <t>Tréfás Dávid</t>
  </si>
  <si>
    <t xml:space="preserve"> Illúzió, hogy ismerjük egymást. Svájci–magyar kapcsolatok 1944–45 és 1956 között</t>
  </si>
  <si>
    <t>_1822</t>
  </si>
  <si>
    <t>Ugrai János</t>
  </si>
  <si>
    <t xml:space="preserve"> Önállóság és kiszolgáltatottság.</t>
  </si>
  <si>
    <t>_1823</t>
  </si>
  <si>
    <t>Vadász Sándor</t>
  </si>
  <si>
    <t xml:space="preserve"> Rádiós történelem</t>
  </si>
  <si>
    <t>_1824</t>
  </si>
  <si>
    <t>Várallyaly Gyula</t>
  </si>
  <si>
    <t xml:space="preserve"> Tévúton.Ügynökök az ötvenhatos diákmozgalomban Nyugaton</t>
  </si>
  <si>
    <t>_1825</t>
  </si>
  <si>
    <t>Végső István - Simko Balázs</t>
  </si>
  <si>
    <t xml:space="preserve"> Zsidósors Kiskunhalason. Kisvárosi út a holokauszthoz</t>
  </si>
  <si>
    <t>_1826</t>
  </si>
  <si>
    <t>Völgyesi Zoltán</t>
  </si>
  <si>
    <t xml:space="preserve"> Harctértől a hátországig</t>
  </si>
  <si>
    <t>_1827</t>
  </si>
  <si>
    <t>Zachar Péter Krisztián</t>
  </si>
  <si>
    <t xml:space="preserve"> Ellenforradalom és szabadságharc</t>
  </si>
  <si>
    <t>_1828</t>
  </si>
  <si>
    <t>Zachar Péter</t>
  </si>
  <si>
    <t xml:space="preserve"> Gazdasági válságok, társadalmi feszültségek</t>
  </si>
  <si>
    <t>_1721</t>
  </si>
  <si>
    <t>Eckhardt Tibor</t>
  </si>
  <si>
    <t xml:space="preserve"> Visszaemlékezések. 1941–1943</t>
  </si>
  <si>
    <t>_1747</t>
  </si>
  <si>
    <t>Horn Ildikó</t>
  </si>
  <si>
    <t xml:space="preserve"> A könnyező krokodil. Jagelló Anna és Báthory István házassága</t>
  </si>
  <si>
    <t>_1760</t>
  </si>
  <si>
    <t>Kármán Gábor, Szabó Péter András (szerk.)</t>
  </si>
  <si>
    <t xml:space="preserve"> Szerencsének elegyes forgása - II. Rákóczi György és kora</t>
  </si>
  <si>
    <t>_1718</t>
  </si>
  <si>
    <t xml:space="preserve"> Koreaiak Magyarországon az 1950-es években</t>
  </si>
  <si>
    <t>_1783</t>
  </si>
  <si>
    <t>Molnár Antal</t>
  </si>
  <si>
    <t xml:space="preserve"> Lehetetlen küldetés? Jezsuiták Erdélyben és Felsõ-Magyarországon a 16–17. században</t>
  </si>
  <si>
    <t>_1791</t>
  </si>
  <si>
    <t>Orgona Angelika</t>
  </si>
  <si>
    <t xml:space="preserve"> Unikornisok Tündérországban</t>
  </si>
  <si>
    <t>_1900</t>
  </si>
  <si>
    <t>Ágnes Birtalan - Zsolt Szilágyi</t>
  </si>
  <si>
    <t xml:space="preserve"> Rescued Epics.Three Heroic Epics from the Repertoire</t>
  </si>
  <si>
    <t>Tudomány / Történelem - Világ</t>
  </si>
  <si>
    <t>_1900a</t>
  </si>
  <si>
    <t>Almási Gábor</t>
  </si>
  <si>
    <t>Reneszánsz és humanizmus</t>
  </si>
  <si>
    <t>_1900b</t>
  </si>
  <si>
    <t>Badó Attila, Bóka János</t>
  </si>
  <si>
    <t>Ártatlanul halálra ítéltek. Az amerikai igazságszolgáltatás tévedései</t>
  </si>
  <si>
    <t>_1901</t>
  </si>
  <si>
    <t>Anderson Benedict</t>
  </si>
  <si>
    <t xml:space="preserve"> Elképzelt közösségek</t>
  </si>
  <si>
    <t>_1902</t>
  </si>
  <si>
    <t>Audoin-Rouzeau Stéphane -Annette Becker</t>
  </si>
  <si>
    <t xml:space="preserve"> 1914-1918, Az újraírt háború</t>
  </si>
  <si>
    <t>_1903</t>
  </si>
  <si>
    <t>Babirák Hajnalka</t>
  </si>
  <si>
    <t xml:space="preserve"> A kaukázusi Georgia</t>
  </si>
  <si>
    <t>_1904</t>
  </si>
  <si>
    <t xml:space="preserve"> Belga-Németalföld újkori története</t>
  </si>
  <si>
    <t>_1906</t>
  </si>
  <si>
    <t>Bartha Eszter</t>
  </si>
  <si>
    <t xml:space="preserve"> A munkások útja a szocializmusból a kapitalizmusba Kelet-Európában 1968-1989</t>
  </si>
  <si>
    <t>_1907</t>
  </si>
  <si>
    <t xml:space="preserve"> Magányos harcosok:  Munkások a rendszerváltás utáni Kelet-Németországban és Magyarországon</t>
  </si>
  <si>
    <t>_1908</t>
  </si>
  <si>
    <t>Benda Gyula - Szekeres András (szerk.)</t>
  </si>
  <si>
    <t xml:space="preserve"> Az Annales. A gazdaság-, társadalom- és művelődéstörténet francia változata</t>
  </si>
  <si>
    <t>_1910</t>
  </si>
  <si>
    <t>Birnbaum Marianna D.</t>
  </si>
  <si>
    <t xml:space="preserve"> Gracia Mendes hosszú útja</t>
  </si>
  <si>
    <t>_1911</t>
  </si>
  <si>
    <t>Birtalan Ágnes - Kelényi Béla - Szilágyi Zsolt (szerk.)</t>
  </si>
  <si>
    <t xml:space="preserve"> Védelmező istenségek és démonok Mongóliában is Tibetben</t>
  </si>
  <si>
    <t>_1913</t>
  </si>
  <si>
    <t xml:space="preserve"> Európa és az Oszmán Birodalom a XVI-XVII. században</t>
  </si>
  <si>
    <t>_1914</t>
  </si>
  <si>
    <t>Búr Gábor</t>
  </si>
  <si>
    <t xml:space="preserve"> Az apartheid születése</t>
  </si>
  <si>
    <t>_1915</t>
  </si>
  <si>
    <t>Buzogány Dezső–Jánosi Csongor</t>
  </si>
  <si>
    <t xml:space="preserve"> A református egyház Romániában a kommunista rendszer első felében. Tanulmányok és dokumentumok </t>
  </si>
  <si>
    <t>_1916</t>
  </si>
  <si>
    <t>Constantin Iordachi</t>
  </si>
  <si>
    <t xml:space="preserve"> A fasiszta Vasgárda romániában 1927-1941</t>
  </si>
  <si>
    <t>_1917</t>
  </si>
  <si>
    <t>Csabai Zoltán (szerk.)</t>
  </si>
  <si>
    <t xml:space="preserve"> Ökonómia és ökológia:  tanulmányok az ókori gazdaságtörténet és történeti földrajz köréből - ÓTI3</t>
  </si>
  <si>
    <t>_1918</t>
  </si>
  <si>
    <t>Csabai Zoltán</t>
  </si>
  <si>
    <t xml:space="preserve"> From Elephantine to Babylon. Selected Studies of Péter Vargyas on Ancient Near Eastern Economy</t>
  </si>
  <si>
    <t>_1918a</t>
  </si>
  <si>
    <t xml:space="preserve"> Studies in Economic and Social History of the Ancient near East in Memory of Péter Vargyas</t>
  </si>
  <si>
    <t>_1919</t>
  </si>
  <si>
    <t>Csabai Zoltán, Szabó Ernő, Vilmos László és Vitári-Wéber Adrienn (szerk.)</t>
  </si>
  <si>
    <t xml:space="preserve"> Európé égisze alatt </t>
  </si>
  <si>
    <t>_1920</t>
  </si>
  <si>
    <t>Csaplár-Degovics Krisztián, Krausz Tamás (szerk.)</t>
  </si>
  <si>
    <t xml:space="preserve"> A történetírás új tendenciái a rendszerváltás után Kelet-Európában</t>
  </si>
  <si>
    <t>_1921</t>
  </si>
  <si>
    <t xml:space="preserve"> Korea és Magyarország 1956-ban</t>
  </si>
  <si>
    <t>_1923</t>
  </si>
  <si>
    <t>Daftary Farhad</t>
  </si>
  <si>
    <t xml:space="preserve"> Aszaszin legendák</t>
  </si>
  <si>
    <t>_1922</t>
  </si>
  <si>
    <t xml:space="preserve"> Az iszmá'iliták rövid története</t>
  </si>
  <si>
    <t>_1924</t>
  </si>
  <si>
    <t>Demski Dagnoslaw</t>
  </si>
  <si>
    <t xml:space="preserve"> Competing Eyes. Visual Encounters With Alterity in Central and Eastern Europe</t>
  </si>
  <si>
    <t>_1925</t>
  </si>
  <si>
    <t xml:space="preserve"> War matters</t>
  </si>
  <si>
    <t>_1926</t>
  </si>
  <si>
    <t>Diaconus Paulus</t>
  </si>
  <si>
    <t xml:space="preserve"> A langobardok története</t>
  </si>
  <si>
    <t>_1927</t>
  </si>
  <si>
    <t>Farkas Ildikó – Sági Attila (szerk.)</t>
  </si>
  <si>
    <t xml:space="preserve"> Kortárs Japanológia I.</t>
  </si>
  <si>
    <t>_1928</t>
  </si>
  <si>
    <t>Filonyenko Sz. I. - M. I. Filonyenko</t>
  </si>
  <si>
    <t xml:space="preserve"> Lélektani háború a Donnál.A fasiszta propaganda mítoszai 1941-943</t>
  </si>
  <si>
    <t>_1929</t>
  </si>
  <si>
    <t>Fiziker Róbert</t>
  </si>
  <si>
    <t xml:space="preserve"> Leleplezett történelem</t>
  </si>
  <si>
    <t>_1930</t>
  </si>
  <si>
    <t>Fried Ilona</t>
  </si>
  <si>
    <t xml:space="preserve"> Őexcellenciája kívánságára – Színház, kultúra és politika a fasizmus Olaszországában</t>
  </si>
  <si>
    <t>_1931</t>
  </si>
  <si>
    <t>Fülöp József - Mészáros Márton - Tóth Dóra (szerk.)</t>
  </si>
  <si>
    <t xml:space="preserve"> A szél fúj, ahová akar</t>
  </si>
  <si>
    <t>_1932</t>
  </si>
  <si>
    <t>Gedő Éva, Horváth Emőke (szerk.)</t>
  </si>
  <si>
    <t xml:space="preserve"> Hatalom, legitimáció, ideológia - történeti tanulmányok</t>
  </si>
  <si>
    <t>_1934</t>
  </si>
  <si>
    <t>Ghitta Ovidiu</t>
  </si>
  <si>
    <t xml:space="preserve"> Pânea pruncilor (The Infants’ Bread).</t>
  </si>
  <si>
    <t>_1935</t>
  </si>
  <si>
    <t>Gradvohl Edina - Jászberényi József</t>
  </si>
  <si>
    <t xml:space="preserve"> Európai művelődéstörténet</t>
  </si>
  <si>
    <t>_1936</t>
  </si>
  <si>
    <t>Grafton Anthony</t>
  </si>
  <si>
    <t xml:space="preserve"> A lábjegyzet. Egy különös történet</t>
  </si>
  <si>
    <t>_1939</t>
  </si>
  <si>
    <t>Hartog François - Revel Jacques</t>
  </si>
  <si>
    <t xml:space="preserve"> A múlt politikai felhasználásai</t>
  </si>
  <si>
    <t>_1940</t>
  </si>
  <si>
    <t>Hartog François</t>
  </si>
  <si>
    <t xml:space="preserve"> A történetiség rendjei. Prezentizmus és időtapasztalat</t>
  </si>
  <si>
    <t>_1942</t>
  </si>
  <si>
    <t>Hobsbawm Eric</t>
  </si>
  <si>
    <t xml:space="preserve"> Hétköznapi hősök. Ellenállók, lázadók és a dzsessz</t>
  </si>
  <si>
    <t>_1941</t>
  </si>
  <si>
    <t xml:space="preserve"> Mozgalmas évek - Egy huszadik századi életút</t>
  </si>
  <si>
    <t>_1943</t>
  </si>
  <si>
    <t>Horváth Emőke (szerk.)</t>
  </si>
  <si>
    <t xml:space="preserve"> Bűn, bűnhődés, büntetés.Tanulmánykötet</t>
  </si>
  <si>
    <t>_1944</t>
  </si>
  <si>
    <t>Horváth Emőke</t>
  </si>
  <si>
    <t xml:space="preserve"> Tanulmányok a Karib térségről</t>
  </si>
  <si>
    <t>_1945</t>
  </si>
  <si>
    <t>Inzelt György</t>
  </si>
  <si>
    <t xml:space="preserve"> Mély kútforrása a bölcsességnek. Esszék a természettudomány világából.</t>
  </si>
  <si>
    <t>_1946</t>
  </si>
  <si>
    <t>Iordanes</t>
  </si>
  <si>
    <t xml:space="preserve"> Getica (A gótok eredete és tettei)</t>
  </si>
  <si>
    <t>_1947</t>
  </si>
  <si>
    <t>Jordán Gyula</t>
  </si>
  <si>
    <t xml:space="preserve"> Kína XX. századi története</t>
  </si>
  <si>
    <t>_1948</t>
  </si>
  <si>
    <t>Juhász József - Krausz Tamás (szerk.)</t>
  </si>
  <si>
    <t xml:space="preserve"> Az új nemzetállamok és az etnikai tisztogatások Kelet-Európában 1989 után</t>
  </si>
  <si>
    <t>_1951</t>
  </si>
  <si>
    <t>Juskova Miroslava</t>
  </si>
  <si>
    <t xml:space="preserve"> Religious orders under Communism</t>
  </si>
  <si>
    <t>_1952</t>
  </si>
  <si>
    <t>Karvalics Z. László (szerk.)</t>
  </si>
  <si>
    <t xml:space="preserve"> History of the first world war</t>
  </si>
  <si>
    <t>_1953</t>
  </si>
  <si>
    <t>Kerekes Dóra</t>
  </si>
  <si>
    <t xml:space="preserve"> Diplomaták és kémek Konstantinápolyban</t>
  </si>
  <si>
    <t>_1955</t>
  </si>
  <si>
    <t>Krausz Tamás - Mitrovits Miklós (szerk.)</t>
  </si>
  <si>
    <t xml:space="preserve"> A játék hatalma. Futball - pénz - politika</t>
  </si>
  <si>
    <t>_1956</t>
  </si>
  <si>
    <t>Krausz Tamás – Szigeti Péter (szerk.)</t>
  </si>
  <si>
    <t xml:space="preserve"> Államszocializmus. Értelmezések – viták – tanulságok</t>
  </si>
  <si>
    <t>_1957</t>
  </si>
  <si>
    <t>Krausz Tamás, Bartha Eszter (szerk.)</t>
  </si>
  <si>
    <t xml:space="preserve"> 1968. Kelet-Európa és a világ</t>
  </si>
  <si>
    <t>_1958</t>
  </si>
  <si>
    <t>Lagzi Gábor</t>
  </si>
  <si>
    <t xml:space="preserve"> Az ellenzékiség és együttműködés között</t>
  </si>
  <si>
    <t>_1959</t>
  </si>
  <si>
    <t>Lévai Csaba</t>
  </si>
  <si>
    <t xml:space="preserve"> A republikanizmus-vita</t>
  </si>
  <si>
    <t>_1960</t>
  </si>
  <si>
    <t xml:space="preserve"> Amerikai történelem és történetírás</t>
  </si>
  <si>
    <t>_1961</t>
  </si>
  <si>
    <t>Lugosi Győző (szerk.)</t>
  </si>
  <si>
    <t xml:space="preserve"> Dokumentumok a Közel-Kelet történetéhez</t>
  </si>
  <si>
    <t>_1962</t>
  </si>
  <si>
    <t>Lugosi Győző</t>
  </si>
  <si>
    <t xml:space="preserve"> Rizsföldjeim határa a tenger</t>
  </si>
  <si>
    <t>_1963</t>
  </si>
  <si>
    <t>Maruzsa Zoltán</t>
  </si>
  <si>
    <t xml:space="preserve"> A német újrafegyverkezés és a hidegháború. 1945-1969</t>
  </si>
  <si>
    <t>_1966</t>
  </si>
  <si>
    <t xml:space="preserve"> A német császárság 1871-1918</t>
  </si>
  <si>
    <t>_1968</t>
  </si>
  <si>
    <t xml:space="preserve"> A Német Demokratikus Köztársaság(1949-1990). Összegzés és dokumentumok</t>
  </si>
  <si>
    <t>_1969</t>
  </si>
  <si>
    <t xml:space="preserve"> A Német Szövetségi Köztársaság. (1949-2009) Összegzés és dokumentumok.</t>
  </si>
  <si>
    <t>_1972</t>
  </si>
  <si>
    <t xml:space="preserve"> Az első világháború 1914–1918</t>
  </si>
  <si>
    <t>_1964</t>
  </si>
  <si>
    <t xml:space="preserve"> Demokrácia és diktatúra Németországban 1918–1945. 1.kötet</t>
  </si>
  <si>
    <t>_1965</t>
  </si>
  <si>
    <t xml:space="preserve"> Demokrácia és diktatúra Németországban 1918–1945. 2. kötet</t>
  </si>
  <si>
    <t>_1967</t>
  </si>
  <si>
    <t xml:space="preserve"> Hatalmi politika Közép-Európában</t>
  </si>
  <si>
    <t>_1971</t>
  </si>
  <si>
    <t xml:space="preserve"> Katyn, 1940. Lengyelország a Szovjetunió és Németország „életterében” (1914–1945)</t>
  </si>
  <si>
    <t>_1974</t>
  </si>
  <si>
    <t>Papp Gábor, Szíjártó M. István (szerk.)</t>
  </si>
  <si>
    <t xml:space="preserve"> Mikrotörténelem másodfokon</t>
  </si>
  <si>
    <t>_1975</t>
  </si>
  <si>
    <t>Papp Imre</t>
  </si>
  <si>
    <t xml:space="preserve"> A francia nemesi társadalom a XVIII. században</t>
  </si>
  <si>
    <t>_1976</t>
  </si>
  <si>
    <t>Papp Sándor</t>
  </si>
  <si>
    <t xml:space="preserve"> Török szövetség - Habsburg kiegyezés. A Bocskai-felkelés történetéhez</t>
  </si>
  <si>
    <t>_1977</t>
  </si>
  <si>
    <t>Ress Imre</t>
  </si>
  <si>
    <t xml:space="preserve"> Kapcsolatok és keresztutak</t>
  </si>
  <si>
    <t>_1978</t>
  </si>
  <si>
    <t>Rojas Carlos</t>
  </si>
  <si>
    <t xml:space="preserve"> Fernand Braudel és a társadalomtudományok</t>
  </si>
  <si>
    <t>_1979</t>
  </si>
  <si>
    <t>Ronald Suny</t>
  </si>
  <si>
    <t xml:space="preserve"> Az örmény népirtás története</t>
  </si>
  <si>
    <t>_1981</t>
  </si>
  <si>
    <t>Schmitt Jean-Claude</t>
  </si>
  <si>
    <t xml:space="preserve"> A zsidó Hermann megtérése. Önéletírás, történelem és fikció</t>
  </si>
  <si>
    <t>_1982</t>
  </si>
  <si>
    <t>Sébastien Boussois</t>
  </si>
  <si>
    <t xml:space="preserve"> Izrael, szembesítve a múlttal – Tanulmány az „új történelem” hatásáról</t>
  </si>
  <si>
    <t>_1983</t>
  </si>
  <si>
    <t>Semsey Viktória szerk.</t>
  </si>
  <si>
    <t xml:space="preserve"> Latin-Amerika 1750–1840. A gyarmati rendszer felbomlásától a független államok megalakulásáig</t>
  </si>
  <si>
    <t>_1984</t>
  </si>
  <si>
    <t>Semsey Viktória</t>
  </si>
  <si>
    <t xml:space="preserve"> A polgári átalakulás Spanyolországban 1808-1868</t>
  </si>
  <si>
    <t>_1985</t>
  </si>
  <si>
    <t xml:space="preserve"> Spanyolország és Latin-Amerika 19-20. századi rövid története</t>
  </si>
  <si>
    <t>_1986</t>
  </si>
  <si>
    <t>Szalai László (szerk.)</t>
  </si>
  <si>
    <t xml:space="preserve"> A nemzeti mítoszok szerkezete és funkciója Kelet-Európában</t>
  </si>
  <si>
    <t>_1987</t>
  </si>
  <si>
    <t>Szekeres András (szerk.)</t>
  </si>
  <si>
    <t xml:space="preserve"> A történész szerszámosládája</t>
  </si>
  <si>
    <t>_1988</t>
  </si>
  <si>
    <t>Szijártó M. István</t>
  </si>
  <si>
    <t xml:space="preserve"> A történész mikroszkópja. A mikrotörténelem elmélete és gyakorlata</t>
  </si>
  <si>
    <t>_1989</t>
  </si>
  <si>
    <t>Szilágyi István</t>
  </si>
  <si>
    <t xml:space="preserve"> Portugália története a huszadik században</t>
  </si>
  <si>
    <t>_1990</t>
  </si>
  <si>
    <t>Szilágyi Zsolt</t>
  </si>
  <si>
    <t xml:space="preserve"> Kéklő hegyek alatt lótuszok tava</t>
  </si>
  <si>
    <t>_1992</t>
  </si>
  <si>
    <t>Tagányi Zoltán</t>
  </si>
  <si>
    <t xml:space="preserve"> A közép-kelet európai faluközösség genezise</t>
  </si>
  <si>
    <t>_1997</t>
  </si>
  <si>
    <t>Vargyas Péter</t>
  </si>
  <si>
    <t xml:space="preserve"> A pénz története Babilóniában az pénzverés előtt és után</t>
  </si>
  <si>
    <t>_1991</t>
  </si>
  <si>
    <t xml:space="preserve"> Kulturális hagyomány a modern Kelet-Ázsiai államban</t>
  </si>
  <si>
    <t>_2000</t>
  </si>
  <si>
    <t>Dúll Andrea – Izsák Éva (szerk.)</t>
  </si>
  <si>
    <t xml:space="preserve"> Tér-rétegek. Tanulmányok a XXI. század térfordulatairól</t>
  </si>
  <si>
    <t>Tudomány / Urbanisztika</t>
  </si>
  <si>
    <t>_2001</t>
  </si>
  <si>
    <t>Dúll Andrea</t>
  </si>
  <si>
    <t xml:space="preserve"> A környezetpszichológia alapkérdései -  Helyek, tárgyak, viselkedés</t>
  </si>
  <si>
    <t>_2003</t>
  </si>
  <si>
    <t xml:space="preserve"> Falu a városban:  az angyalföldi OTI-telep Dokumentumok és néprajzi tanulmányok</t>
  </si>
  <si>
    <t>_2004</t>
  </si>
  <si>
    <t xml:space="preserve"> Hely, identitás, emlékezet</t>
  </si>
  <si>
    <t>_2005</t>
  </si>
  <si>
    <t>Kocsis János Balázs (szerk.)</t>
  </si>
  <si>
    <t xml:space="preserve"> Főutcák, üzletutcák - megújulás és fejlesztés</t>
  </si>
  <si>
    <t>_2006</t>
  </si>
  <si>
    <t>Ludmann Mihály</t>
  </si>
  <si>
    <t xml:space="preserve"> A magyar építészet mesterei</t>
  </si>
  <si>
    <t>_2006c</t>
  </si>
  <si>
    <t xml:space="preserve"> A magyar építészet mesterei (második, javított kiadás)</t>
  </si>
  <si>
    <t>_2007</t>
  </si>
  <si>
    <t xml:space="preserve"> A magyar szobrászat mesterei</t>
  </si>
  <si>
    <t>_2010</t>
  </si>
  <si>
    <t>Székely Miklós</t>
  </si>
  <si>
    <t xml:space="preserve"> Ephemeral Architecture in Central-Eastern Europe in the 19th and 20th centuries</t>
  </si>
  <si>
    <t>_2011</t>
  </si>
  <si>
    <t>Széplaky Gerda</t>
  </si>
  <si>
    <t xml:space="preserve"> Diverzív építészet</t>
  </si>
  <si>
    <t>_2006b</t>
  </si>
  <si>
    <t xml:space="preserve"> A magyar építészet mesterei - II.</t>
  </si>
  <si>
    <t>_2100</t>
  </si>
  <si>
    <t>Xeravits Géza (szerk.)</t>
  </si>
  <si>
    <t>A próféták élete. Zsidó szentéletrajzok az ókorból</t>
  </si>
  <si>
    <t>Tudomány / Vallástudomány</t>
  </si>
  <si>
    <t>_2102</t>
  </si>
  <si>
    <t>Adorjáni Zoltán</t>
  </si>
  <si>
    <t xml:space="preserve"> Alexandriai Philón:  De vita contemplativa</t>
  </si>
  <si>
    <t>_2103</t>
  </si>
  <si>
    <t xml:space="preserve"> Jób testamentuma Bevezetés - fordítás - jegyzetek</t>
  </si>
  <si>
    <t>_2104</t>
  </si>
  <si>
    <t>Baán Izsák, Xeravits Géza (szerk.)</t>
  </si>
  <si>
    <t xml:space="preserve"> A remeteélet iskolájában - Válogatott források és tanulmányok</t>
  </si>
  <si>
    <t>_2105</t>
  </si>
  <si>
    <t>Baán Izsák</t>
  </si>
  <si>
    <t xml:space="preserve"> Evagriosz Pontikosz a gondolatokról</t>
  </si>
  <si>
    <t>_2106</t>
  </si>
  <si>
    <t>Bagyinszki</t>
  </si>
  <si>
    <t xml:space="preserve"> A hitvallástól a teológiai megalapozásig</t>
  </si>
  <si>
    <t>_2107</t>
  </si>
  <si>
    <t>Bălan Ioanichie</t>
  </si>
  <si>
    <t xml:space="preserve"> Három beszélgetés moldvai sztarecekkel</t>
  </si>
  <si>
    <t>_2108</t>
  </si>
  <si>
    <t>Balthasar - Ratzinger - Schürmann</t>
  </si>
  <si>
    <t xml:space="preserve"> A keresztény erkölcs alapelvei</t>
  </si>
  <si>
    <t>_2109</t>
  </si>
  <si>
    <t>Bányai Ferenc - Nagypál Szabolcs - Bakos Gergely(szerk.)</t>
  </si>
  <si>
    <t xml:space="preserve"> A vallási tapasztalat megértése. Jog, bölcselet, teológia</t>
  </si>
  <si>
    <t>_2110</t>
  </si>
  <si>
    <t>Banyár Magdolna(szerk.)</t>
  </si>
  <si>
    <t xml:space="preserve"> Vallás. Háború vagy béke?</t>
  </si>
  <si>
    <t>_2111</t>
  </si>
  <si>
    <t>Békési Sándor</t>
  </si>
  <si>
    <t xml:space="preserve"> Sisi személyének teológiai portréja</t>
  </si>
  <si>
    <t>_2112</t>
  </si>
  <si>
    <t>Bekő István - Zsengellér József (szerk.)</t>
  </si>
  <si>
    <t xml:space="preserve"> Jézus csodáiról szóló elbeszélések</t>
  </si>
  <si>
    <t>_2114</t>
  </si>
  <si>
    <t>Bertram Stubenrauch</t>
  </si>
  <si>
    <t xml:space="preserve"> Isten gazdagsága. A kereszténység szentháromsági istenképe</t>
  </si>
  <si>
    <t>_2115</t>
  </si>
  <si>
    <t>Bolyki János</t>
  </si>
  <si>
    <t xml:space="preserve"> Teológia a szószéken és a katedrán</t>
  </si>
  <si>
    <t>_2116</t>
  </si>
  <si>
    <t>Bosetti Elena</t>
  </si>
  <si>
    <t>_2117</t>
  </si>
  <si>
    <t xml:space="preserve">Bultmann Rudolf </t>
  </si>
  <si>
    <t xml:space="preserve"> Hit és megértés</t>
  </si>
  <si>
    <t>_2118</t>
  </si>
  <si>
    <t>Cantalamessa Ranier</t>
  </si>
  <si>
    <t xml:space="preserve"> Engedelmesség</t>
  </si>
  <si>
    <t>_2119</t>
  </si>
  <si>
    <t>Cantalamessa Raniero</t>
  </si>
  <si>
    <t xml:space="preserve"> Szüzesség</t>
  </si>
  <si>
    <t>_2120</t>
  </si>
  <si>
    <t>Cencini Amedeo</t>
  </si>
  <si>
    <t xml:space="preserve"> A Fiú lelkülete</t>
  </si>
  <si>
    <t>_2121</t>
  </si>
  <si>
    <t>Ciardi Fabio</t>
  </si>
  <si>
    <t xml:space="preserve"> Hogyan kövessem?Válasz Jézus hívására</t>
  </si>
  <si>
    <t>_2122</t>
  </si>
  <si>
    <t>Clairvaux-i Szent Bernát</t>
  </si>
  <si>
    <t xml:space="preserve"> Az alázat és a gőg fokairól. A megtérésről</t>
  </si>
  <si>
    <t>_2123</t>
  </si>
  <si>
    <t>Czeglédy Anita–Sepsi Enikő–Szummer Csaba (szerk.)</t>
  </si>
  <si>
    <t xml:space="preserve"> Tükör által</t>
  </si>
  <si>
    <t>_2124</t>
  </si>
  <si>
    <t>Dávid István (szerk.)</t>
  </si>
  <si>
    <t xml:space="preserve"> Merre tovább kántorképzés?</t>
  </si>
  <si>
    <t>_2126</t>
  </si>
  <si>
    <t>Dobos Károly Dániel - Nagypál Szabolcs (szerk.)</t>
  </si>
  <si>
    <t xml:space="preserve"> Kizöldülő olajfa. Hivatalos megnyilatkozások a zsidó-keresztény párbeszédben</t>
  </si>
  <si>
    <t>_2128</t>
  </si>
  <si>
    <t>Erdélyi Erzsébet, Szabó Attila</t>
  </si>
  <si>
    <t xml:space="preserve"> A hit erejével</t>
  </si>
  <si>
    <t>_2130</t>
  </si>
  <si>
    <t xml:space="preserve"> The King James Bible</t>
  </si>
  <si>
    <t>_2134</t>
  </si>
  <si>
    <t xml:space="preserve"> Tudom, kinek hittem - Patrisztikus tanulmányok</t>
  </si>
  <si>
    <t>_2135</t>
  </si>
  <si>
    <t>Gaillardetz Richard R.</t>
  </si>
  <si>
    <t xml:space="preserve"> A katolikus teológia megalapozása</t>
  </si>
  <si>
    <t>_2136</t>
  </si>
  <si>
    <t>Galsi Árpád</t>
  </si>
  <si>
    <t xml:space="preserve"> Jakab, az Úr testvére. Jakab az ősgyülekezet és az ősegyház kontextusában</t>
  </si>
  <si>
    <t>_2137</t>
  </si>
  <si>
    <t>Gér A. Jenei G. Zila P.</t>
  </si>
  <si>
    <t xml:space="preserve"> Hiszek, hogy megértsem</t>
  </si>
  <si>
    <t>_2138</t>
  </si>
  <si>
    <t>Görföl Tibor</t>
  </si>
  <si>
    <t xml:space="preserve"> A felfoghatatlan titok a történelemben. Karl Rahner szentháromságtana a mai teológia összefüggésében.</t>
  </si>
  <si>
    <t>_2139</t>
  </si>
  <si>
    <t xml:space="preserve"> Isten és valóság</t>
  </si>
  <si>
    <t>_2140</t>
  </si>
  <si>
    <t>Görözdi Zsolt</t>
  </si>
  <si>
    <t xml:space="preserve"> Protestáns egyházértelmezés a reformáció századában a jelentősebb egyházi rendtartásokban</t>
  </si>
  <si>
    <t>_2143</t>
  </si>
  <si>
    <t>he-Haszid R. Jehuda</t>
  </si>
  <si>
    <t xml:space="preserve"> Széfer Haszidim Haszidok Könyve - I. kötet</t>
  </si>
  <si>
    <t>_2143a</t>
  </si>
  <si>
    <t xml:space="preserve"> Széfer Haszidim Haszidok Könyve - II. kötet</t>
  </si>
  <si>
    <t>_2144</t>
  </si>
  <si>
    <t>Heidl György</t>
  </si>
  <si>
    <t xml:space="preserve"> A Jelenlét vonzásában.Szent Ambrus Izsákról és a lélekről. Bevezető, fordítás és kommentár</t>
  </si>
  <si>
    <t>_2145</t>
  </si>
  <si>
    <t>Hilberath Bernd Jochen</t>
  </si>
  <si>
    <t xml:space="preserve"> Karl Rahner – Az ember – Isten titkához rendelt lény</t>
  </si>
  <si>
    <t>_2146</t>
  </si>
  <si>
    <t>Hoping H. – J.-H. Tück (szerk.)</t>
  </si>
  <si>
    <t xml:space="preserve"> A hit megütköztető igazsága – Joseph Ratzinger teológiájának körvonalai</t>
  </si>
  <si>
    <t>_2147</t>
  </si>
  <si>
    <t>Hoppál K. Bulcsú - Szilágyi Zsolt - Vassányi Miklós (szerk.)</t>
  </si>
  <si>
    <t xml:space="preserve"> Áldozat és ima</t>
  </si>
  <si>
    <t>_2148</t>
  </si>
  <si>
    <t>Hoppál K. Bulcsú</t>
  </si>
  <si>
    <t xml:space="preserve"> Vallástudományi magasles</t>
  </si>
  <si>
    <t>_2149</t>
  </si>
  <si>
    <t>Hoppál Kál Bulcsú (szerk.)</t>
  </si>
  <si>
    <t xml:space="preserve"> Aquinói Szent Tamás és a tomizmus ma</t>
  </si>
  <si>
    <t>_2152</t>
  </si>
  <si>
    <t>Horváth Pál</t>
  </si>
  <si>
    <t xml:space="preserve"> Vallásfilozófia és vallástörténet</t>
  </si>
  <si>
    <t>_2153</t>
  </si>
  <si>
    <t>IV. Ignátiosz</t>
  </si>
  <si>
    <t xml:space="preserve"> A feltámadás és a modern ember</t>
  </si>
  <si>
    <t>_2157</t>
  </si>
  <si>
    <t>Karasszon István</t>
  </si>
  <si>
    <t xml:space="preserve"> Az Ószövetség másik fele</t>
  </si>
  <si>
    <t>_2158</t>
  </si>
  <si>
    <t xml:space="preserve"> Az Ószövetség regénye. Sugárutak és zsákutcák a kutatástörténetben</t>
  </si>
  <si>
    <t>_2159</t>
  </si>
  <si>
    <t>Kaszó Gyula</t>
  </si>
  <si>
    <t xml:space="preserve"> Gefängnisseelsorge in Ungarn</t>
  </si>
  <si>
    <t>_2160</t>
  </si>
  <si>
    <t>Karl Rahner</t>
  </si>
  <si>
    <t xml:space="preserve"> A Szentháromság</t>
  </si>
  <si>
    <t>_2162</t>
  </si>
  <si>
    <t>Kiechle Stefan</t>
  </si>
  <si>
    <t xml:space="preserve"> Hogyan döntsek?</t>
  </si>
  <si>
    <t>_2164</t>
  </si>
  <si>
    <t>Kókai Nagy Viktor</t>
  </si>
  <si>
    <t xml:space="preserve"> A hegyi beszéd</t>
  </si>
  <si>
    <t>_2165</t>
  </si>
  <si>
    <t>Kovács Ábrahám</t>
  </si>
  <si>
    <t xml:space="preserve"> Calvinism on the Peripheries:  Religion and Civil Society in Europe</t>
  </si>
  <si>
    <t>_2166</t>
  </si>
  <si>
    <t xml:space="preserve"> Hitvédelem és egyháziasság.A debreceni új ortodoxia vitája a liberális teológiával</t>
  </si>
  <si>
    <t>_2168</t>
  </si>
  <si>
    <t xml:space="preserve"> Nemzetközi kálvinizmus Európa perifériáin:  Magyar és skót protestáns kapcsolatok a 19. században</t>
  </si>
  <si>
    <t>_2170a</t>
  </si>
  <si>
    <t>Ábrahám Kovács (eds.)</t>
  </si>
  <si>
    <t xml:space="preserve"> New Trends and Recurring issues in the Study of Religion</t>
  </si>
  <si>
    <t>_2171</t>
  </si>
  <si>
    <t>Kőszeghy Miklós</t>
  </si>
  <si>
    <t xml:space="preserve"> Föld alatti Izrael</t>
  </si>
  <si>
    <t>_2173</t>
  </si>
  <si>
    <t>Lichner Milos  SJ</t>
  </si>
  <si>
    <t xml:space="preserve"> Vers une eccle?siologie de la tolerantia</t>
  </si>
  <si>
    <t>_2174</t>
  </si>
  <si>
    <t>Losonczi Péter - Xeravits Géza (szerk.)</t>
  </si>
  <si>
    <t xml:space="preserve"> Vita és párbeszéd  a monoteista hagyománytörténeti perspektívában</t>
  </si>
  <si>
    <t>_2175</t>
  </si>
  <si>
    <t>Louf André</t>
  </si>
  <si>
    <t xml:space="preserve"> Keresztút a Kolosszeumban</t>
  </si>
  <si>
    <t>_2176</t>
  </si>
  <si>
    <t>Luca Mazzinghi</t>
  </si>
  <si>
    <t xml:space="preserve"> A Bölcsesség útja</t>
  </si>
  <si>
    <t>_2177</t>
  </si>
  <si>
    <t>Lukács János SJ</t>
  </si>
  <si>
    <t xml:space="preserve"> Jezsuita képzés a rendalkotmányban</t>
  </si>
  <si>
    <t>_2179</t>
  </si>
  <si>
    <t>Manns Frédéric</t>
  </si>
  <si>
    <t xml:space="preserve"> A Logosz bűvöletében</t>
  </si>
  <si>
    <t>_2178</t>
  </si>
  <si>
    <t xml:space="preserve"> Bibliai szövegek értelmezése a zsidó és keresztény hagyományokban</t>
  </si>
  <si>
    <t>_2180</t>
  </si>
  <si>
    <t>Martos Levente Balázs</t>
  </si>
  <si>
    <t xml:space="preserve"> Misztikus malom. Zsoltáridézetek a páli levelekben</t>
  </si>
  <si>
    <t>_2181</t>
  </si>
  <si>
    <t>Máté-Tóth András - Nagy Gábor Dániel</t>
  </si>
  <si>
    <t xml:space="preserve"> Alternatív vallás. Szcientológia Magyarországon</t>
  </si>
  <si>
    <t>_2182</t>
  </si>
  <si>
    <t>Máté-Tóth András</t>
  </si>
  <si>
    <t xml:space="preserve"> Vallási kommunikáció és vallási diskurzus</t>
  </si>
  <si>
    <t>_2183</t>
  </si>
  <si>
    <t>McPartlan Paul</t>
  </si>
  <si>
    <t xml:space="preserve"> Az üdvösség szentsége</t>
  </si>
  <si>
    <t>_2185</t>
  </si>
  <si>
    <t>Metz Johann Baptist</t>
  </si>
  <si>
    <t xml:space="preserve"> Az új politikai teológia alapkérdései</t>
  </si>
  <si>
    <t>_2187</t>
  </si>
  <si>
    <t>Nacsinák Gergely András</t>
  </si>
  <si>
    <t xml:space="preserve"> Adj áldást, Atya!</t>
  </si>
  <si>
    <t>_2188</t>
  </si>
  <si>
    <t xml:space="preserve"> Fragmenta Christiana (Teológiai patchwork)</t>
  </si>
  <si>
    <t>_2189</t>
  </si>
  <si>
    <t>Nagypál Szabolcs (szerk.)</t>
  </si>
  <si>
    <t xml:space="preserve"> A vallásközi párbeszéd a vallások szemszögéből</t>
  </si>
  <si>
    <t>_2190</t>
  </si>
  <si>
    <t xml:space="preserve"> Az ökumenikus és vallásközi párbeszéd útja. Hivatalos egyházi megnyilatkozások</t>
  </si>
  <si>
    <t>_2191</t>
  </si>
  <si>
    <t>Nagypál Szabolcs(szerk.)</t>
  </si>
  <si>
    <t xml:space="preserve"> Tekintettel.Vallásközi segédkönyv</t>
  </si>
  <si>
    <t>_2192</t>
  </si>
  <si>
    <t>Nagypál Szabolcs</t>
  </si>
  <si>
    <t xml:space="preserve"> Párbeszédtükör – A vallásközi találkozások módszertana</t>
  </si>
  <si>
    <t>_2193</t>
  </si>
  <si>
    <t>Nemeshegyi Péter SJ</t>
  </si>
  <si>
    <t xml:space="preserve"> "Megesett rajtuk a szíve"</t>
  </si>
  <si>
    <t>_2194</t>
  </si>
  <si>
    <t>Németh Dávid</t>
  </si>
  <si>
    <t xml:space="preserve"> Pasztorálantropológia</t>
  </si>
  <si>
    <t>_2198</t>
  </si>
  <si>
    <t>Orosz András Lóránt - Ujházi Lóránd (szerk.)</t>
  </si>
  <si>
    <t xml:space="preserve"> A katolikus egyház biztonsági helyzete</t>
  </si>
  <si>
    <t>_2197</t>
  </si>
  <si>
    <t>Orosz András Lóránt OFM -  Ujházi Lóránd (szerk.)</t>
  </si>
  <si>
    <t xml:space="preserve"> Egyházi intézmények jogi szabályozása</t>
  </si>
  <si>
    <t>_2200</t>
  </si>
  <si>
    <t>Orosz Gábor</t>
  </si>
  <si>
    <t xml:space="preserve"> Idegen méltóság</t>
  </si>
  <si>
    <t>_2201</t>
  </si>
  <si>
    <t>Paglia Vincenzo</t>
  </si>
  <si>
    <t xml:space="preserve"> Isten szava minden napra 2016</t>
  </si>
  <si>
    <t>_2202</t>
  </si>
  <si>
    <t>Pannenberg Wolfhart</t>
  </si>
  <si>
    <t xml:space="preserve"> Teológia és filozófia - A két tudomány viszonya és közös története</t>
  </si>
  <si>
    <t>_2204</t>
  </si>
  <si>
    <t>Pap Ferenc</t>
  </si>
  <si>
    <t xml:space="preserve"> A templom mint teológia. Kulcsok az Ezékiel 40-48 értelmezéséhez</t>
  </si>
  <si>
    <t>_2205</t>
  </si>
  <si>
    <t xml:space="preserve"> Dicsőség tükre Művészeti és teológiai tanulmányok</t>
  </si>
  <si>
    <t>_2207</t>
  </si>
  <si>
    <t>Papp Miklós</t>
  </si>
  <si>
    <t xml:space="preserve"> A vallásosság erkölcsi erénye</t>
  </si>
  <si>
    <t>_2210</t>
  </si>
  <si>
    <t>Radcliffe OP Timothy</t>
  </si>
  <si>
    <t xml:space="preserve"> Új dalt énekeljetek. A keresztény hivatás</t>
  </si>
  <si>
    <t>_2211</t>
  </si>
  <si>
    <t>Ratzinger Joseph (XVI. Benedek)</t>
  </si>
  <si>
    <t xml:space="preserve"> Örömötök szolgái</t>
  </si>
  <si>
    <t>_2212</t>
  </si>
  <si>
    <t>Rievaulxi Boldog Eldréd</t>
  </si>
  <si>
    <t xml:space="preserve"> A tizenkét éves Jézusról és Lelkipásztorok imája</t>
  </si>
  <si>
    <t>_2213</t>
  </si>
  <si>
    <t>Salernói János</t>
  </si>
  <si>
    <t xml:space="preserve"> Szent Odó élete</t>
  </si>
  <si>
    <t>_2214</t>
  </si>
  <si>
    <t>Sander Stefan</t>
  </si>
  <si>
    <t xml:space="preserve"> A diakónusi szolgálat az egyházban</t>
  </si>
  <si>
    <t>_2215</t>
  </si>
  <si>
    <t>Sapientia füzetek - 28.  Egyén és közösség</t>
  </si>
  <si>
    <t>_2216</t>
  </si>
  <si>
    <t>Sarnyai Csaba Máté és Máté-Tóth András (szerk.)</t>
  </si>
  <si>
    <t xml:space="preserve"> Szemelvények a magyar vallástudomány történetéből I. Jeles szerzők 1860–1920</t>
  </si>
  <si>
    <t>_2217</t>
  </si>
  <si>
    <t xml:space="preserve"> Szemelvények a magyar vallástudomány történetéből II. Jeles szerzők 1921–1945</t>
  </si>
  <si>
    <t>_2220</t>
  </si>
  <si>
    <t xml:space="preserve"> Contempler L'infini</t>
  </si>
  <si>
    <t>_2222</t>
  </si>
  <si>
    <t>Simon T. László OSB</t>
  </si>
  <si>
    <t xml:space="preserve"> Hagyományok dialógusban</t>
  </si>
  <si>
    <t>_2226</t>
  </si>
  <si>
    <t>Simon T. László</t>
  </si>
  <si>
    <t xml:space="preserve"> A kezdetek varázsa és lendülete.Közelítések a Lukács-evangéliumhoz és az Apostolok cselekedeteihez</t>
  </si>
  <si>
    <t>_2225</t>
  </si>
  <si>
    <t xml:space="preserve"> Az üdvösség mint esély és talány. Közelítések a Márk-evangéliumhoz.</t>
  </si>
  <si>
    <t>_2223</t>
  </si>
  <si>
    <t xml:space="preserve"> Hozzatok szavakat magatokkal. Közelítés s zsoltárokhoz</t>
  </si>
  <si>
    <t>_2224</t>
  </si>
  <si>
    <t xml:space="preserve"> Nem írnokok, hanem írástudók</t>
  </si>
  <si>
    <t>_2227</t>
  </si>
  <si>
    <t>Simon-Székely Attila</t>
  </si>
  <si>
    <t xml:space="preserve"> Lélekenciklopédia</t>
  </si>
  <si>
    <t>_2229</t>
  </si>
  <si>
    <t>Szabó Ferenc SJ</t>
  </si>
  <si>
    <t xml:space="preserve"> A Vatikán keleti politikája közelről. Az Ostpolitik színe és visszája</t>
  </si>
  <si>
    <t>_2230</t>
  </si>
  <si>
    <t xml:space="preserve"> Krisztus és egyháza Pázmány Péter életművében</t>
  </si>
  <si>
    <t>_2231</t>
  </si>
  <si>
    <t>Szabó Xavér</t>
  </si>
  <si>
    <t xml:space="preserve"> Salamon zsoltárai</t>
  </si>
  <si>
    <t>_2232</t>
  </si>
  <si>
    <t>Szádja Gáon</t>
  </si>
  <si>
    <t xml:space="preserve"> Hittételek és Vélemények Könyve</t>
  </si>
  <si>
    <t>_2233</t>
  </si>
  <si>
    <t>Szávay László(szerk.)</t>
  </si>
  <si>
    <t xml:space="preserve"> "Vidimus enim stellam eius..." Konferenciakötet</t>
  </si>
  <si>
    <t>_2234</t>
  </si>
  <si>
    <t>Szeiler Zsolt, Bakos Gergely OSB, Sárkány Péter (szerk.)</t>
  </si>
  <si>
    <t xml:space="preserve"> Hit és ész:  teológiai és filozófiai közelítések</t>
  </si>
  <si>
    <t>_2237</t>
  </si>
  <si>
    <t>Szilágyi Zsolt - Hidas Gergely (szerk.)</t>
  </si>
  <si>
    <t xml:space="preserve"> Buddhizmus</t>
  </si>
  <si>
    <t>_2238</t>
  </si>
  <si>
    <t>Szilágyi Zsolt (szerk.)</t>
  </si>
  <si>
    <t xml:space="preserve"> Tanulmányok a tibeti és mongol buddhizmus köréből. Szerb János-emlékkötet</t>
  </si>
  <si>
    <t>_2239</t>
  </si>
  <si>
    <t>Tóth István</t>
  </si>
  <si>
    <t xml:space="preserve"> Pannóniai vallástörténet - ÓTI 2</t>
  </si>
  <si>
    <t>_2243</t>
  </si>
  <si>
    <t>Vaiani Cesare</t>
  </si>
  <si>
    <t xml:space="preserve"> Assisi Szent Ferenc útja</t>
  </si>
  <si>
    <t>_2244</t>
  </si>
  <si>
    <t>Valerij Lepahin</t>
  </si>
  <si>
    <t xml:space="preserve"> Ikon és ikonikusság</t>
  </si>
  <si>
    <t>_2245</t>
  </si>
  <si>
    <t>Varga Kapisztrán OFM - Várnai Jakab OFM (szerk.)</t>
  </si>
  <si>
    <t xml:space="preserve"> A ferences regula. Korai és mai értelmezések</t>
  </si>
  <si>
    <t>_2248</t>
  </si>
  <si>
    <t>Vassányi, Sepsi, Voigt</t>
  </si>
  <si>
    <t xml:space="preserve"> A spirituális közvetítő</t>
  </si>
  <si>
    <t>_2250</t>
  </si>
  <si>
    <t>Veidinger Éva</t>
  </si>
  <si>
    <t xml:space="preserve"> A kettős áldás fia</t>
  </si>
  <si>
    <t>_2252</t>
  </si>
  <si>
    <t>Voigt Vilmos</t>
  </si>
  <si>
    <t xml:space="preserve"> Aquinói Szent Tamás és a mágia</t>
  </si>
  <si>
    <t>_2253</t>
  </si>
  <si>
    <t>Waldmüller Bernhard</t>
  </si>
  <si>
    <t xml:space="preserve"> A közösségi döntés</t>
  </si>
  <si>
    <t>_2254</t>
  </si>
  <si>
    <t>Welte Bernhard</t>
  </si>
  <si>
    <t xml:space="preserve"> Mit jelent hinni?</t>
  </si>
  <si>
    <t>_2255</t>
  </si>
  <si>
    <t>Wolf Notker OSB - Enrica Rosanna FMA</t>
  </si>
  <si>
    <t xml:space="preserve"> Az embervezetés művészete</t>
  </si>
  <si>
    <t>_2257</t>
  </si>
  <si>
    <t>Xeravits Géza - Zsengellér József (szerk.)</t>
  </si>
  <si>
    <t xml:space="preserve"> Szövetségek erőterében - A deuterokanonikus irodalom alapvető kérdései</t>
  </si>
  <si>
    <t>_2258</t>
  </si>
  <si>
    <t xml:space="preserve"> Tobit / Tóbiás könyve - Szöveg - Hagyomány - Teológia</t>
  </si>
  <si>
    <t>_2259</t>
  </si>
  <si>
    <t xml:space="preserve"> A liturgiáról ökumenikus megközelítésben</t>
  </si>
  <si>
    <t>_2261</t>
  </si>
  <si>
    <t>Xeravits Géza -Nacsinák Gergely András(szerk.)</t>
  </si>
  <si>
    <t xml:space="preserve"> Oszlop a hegyen-Stylita Szent Simeon élete</t>
  </si>
  <si>
    <t>_2262</t>
  </si>
  <si>
    <t>Xeravits Géza(szerk.)</t>
  </si>
  <si>
    <t xml:space="preserve"> Izsák megkötözése. Történet és hatástörténet</t>
  </si>
  <si>
    <t>_2263</t>
  </si>
  <si>
    <t>Xeravits Géza, Tamási Balázs, Szabó Xavér OFM (szerk.)</t>
  </si>
  <si>
    <t xml:space="preserve"> Angyalok az ókortól Szent Tamásig</t>
  </si>
  <si>
    <t>_2264</t>
  </si>
  <si>
    <t>Xeravits Géza</t>
  </si>
  <si>
    <t xml:space="preserve"> A deuterokanonikus könyvek - bevezetés keletkezés- és irodalomtörténetükbe</t>
  </si>
  <si>
    <t>_2266</t>
  </si>
  <si>
    <t xml:space="preserve"> A Zarándokénekek</t>
  </si>
  <si>
    <t>_2265</t>
  </si>
  <si>
    <t xml:space="preserve"> Átalakuló hagyományok - Tanulmányok a korai zsidóság és a születő kereszténység irodalmából</t>
  </si>
  <si>
    <t>_2267</t>
  </si>
  <si>
    <t xml:space="preserve"> Könyvtár a pusztában. Bevezetés a holt-tengeri tekercsek nem-bibliai irodalmába</t>
  </si>
  <si>
    <t>_2269</t>
  </si>
  <si>
    <t xml:space="preserve"> Krisztus köztünk...! Gondolatok a Szentírásról</t>
  </si>
  <si>
    <t>_2270</t>
  </si>
  <si>
    <t xml:space="preserve"> Morzsák Dánieltől Bárukig - Újabb tanulmányok a korai zsidóság irodalmáról</t>
  </si>
  <si>
    <t>_2268</t>
  </si>
  <si>
    <t xml:space="preserve"> Tanulmányok az ókori Izrael kultuszáról</t>
  </si>
  <si>
    <t>_2273</t>
  </si>
  <si>
    <t>Zsengellér József, Kodácsy Tamás, Ablonczy Balázs (szerk.)</t>
  </si>
  <si>
    <t xml:space="preserve"> Felelet a mondolatra</t>
  </si>
  <si>
    <t>_2275</t>
  </si>
  <si>
    <t>Zsengellér József</t>
  </si>
  <si>
    <t xml:space="preserve"> A kánon többszólamúsága. A Héber Biblia/Ószövetség szöveg- és kánontörténete</t>
  </si>
  <si>
    <t>_2274</t>
  </si>
  <si>
    <t xml:space="preserve"> Bálám könyve</t>
  </si>
  <si>
    <t>_2276</t>
  </si>
  <si>
    <t xml:space="preserve"> Textus és kontextus. Az Ószövetség megértésének lehetőségei</t>
  </si>
  <si>
    <t>_2235</t>
  </si>
  <si>
    <t>Szent Simeon az új Teológus</t>
  </si>
  <si>
    <t xml:space="preserve"> Az isteni szerelmek himnuszai</t>
  </si>
  <si>
    <t>_2236</t>
  </si>
  <si>
    <t>Szetey Szabolcs</t>
  </si>
  <si>
    <t xml:space="preserve"> Adatok a magyar református prédikációs gyakorlat újraértékeléséhez</t>
  </si>
  <si>
    <t>_2172</t>
  </si>
  <si>
    <t>Kurucz György (szerk.)</t>
  </si>
  <si>
    <t xml:space="preserve"> Protestantism, Knowledge and the World of Science</t>
  </si>
  <si>
    <t>_2242</t>
  </si>
  <si>
    <t>Trajtler Dóra Ágnes (szerk.)</t>
  </si>
  <si>
    <t xml:space="preserve"> Tan és módszertan</t>
  </si>
  <si>
    <t>_2247</t>
  </si>
  <si>
    <t>Vassányi Miklós</t>
  </si>
  <si>
    <t xml:space="preserve"> Szellemhívók és áldozárok</t>
  </si>
  <si>
    <t>_2256</t>
  </si>
  <si>
    <t>Wolf Notker</t>
  </si>
  <si>
    <t xml:space="preserve"> Szánj időt magadra, hogy életed legyen</t>
  </si>
  <si>
    <t>_2271</t>
  </si>
  <si>
    <t>Yves M.-J. Congar</t>
  </si>
  <si>
    <t xml:space="preserve"> Az Egyház élő hagyománya - Sapientia</t>
  </si>
  <si>
    <t>_2272</t>
  </si>
  <si>
    <t>Zila Gábor</t>
  </si>
  <si>
    <t xml:space="preserve"> Hitetek mellé tudományt</t>
  </si>
  <si>
    <t>_2132</t>
  </si>
  <si>
    <t>Fodor György</t>
  </si>
  <si>
    <t xml:space="preserve"> Jövővárás az Ószövetségben</t>
  </si>
  <si>
    <t>_2150</t>
  </si>
  <si>
    <t>Hoppál Mihály és Kovács Ábrahám (szerk.)</t>
  </si>
  <si>
    <t xml:space="preserve"> Tanulmányok a magyar vallástudomány történetéről</t>
  </si>
  <si>
    <t>_2208</t>
  </si>
  <si>
    <t>Patsch Ferenc SJ (szerk.)</t>
  </si>
  <si>
    <t xml:space="preserve"> Misszió, globalizáció, etika. Matteo Ricci szellemi öröksége</t>
  </si>
  <si>
    <t>_2240</t>
  </si>
  <si>
    <t>Tóth Sára (szerk.)</t>
  </si>
  <si>
    <t xml:space="preserve"> Szólító Szavak - festschrift</t>
  </si>
  <si>
    <t>_2246</t>
  </si>
  <si>
    <t>Vass Bálint</t>
  </si>
  <si>
    <t xml:space="preserve"> Die geschichtliche Bewertung des endlichen Seins in der Theologie Hans Urs von Balthasars</t>
  </si>
  <si>
    <t>_2260</t>
  </si>
  <si>
    <t xml:space="preserve"> Ikonográfia ökumenikus megközelítésben</t>
  </si>
  <si>
    <t>Jöttem a Gangesz partjairól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</si>
</sst>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0"/>
  <sheetViews>
    <sheetView tabSelected="1" workbookViewId="0"/>
  </sheetViews>
  <sheetFormatPr defaultRowHeight="15" x14ac:dyDescent="0.25"/>
  <cols>
    <col min="2" max="2" width="43" customWidth="1"/>
    <col min="3" max="3" width="35.140625" customWidth="1"/>
    <col min="5" max="5" width="35" bestFit="1" customWidth="1"/>
    <col min="6" max="6" width="114.42578125" customWidth="1"/>
  </cols>
  <sheetData>
    <row r="1" spans="1:6" x14ac:dyDescent="0.25">
      <c r="A1" t="s">
        <v>0</v>
      </c>
      <c r="B1" t="s">
        <v>1</v>
      </c>
      <c r="C1" t="s">
        <v>2</v>
      </c>
      <c r="D1">
        <v>2013</v>
      </c>
      <c r="E1" t="s">
        <v>3</v>
      </c>
      <c r="F1" t="str">
        <f>HYPERLINK("https://www.szaktars.hu/harmattan/view/larousse-gyermekenciklopedia/", "https://www.szaktars.hu/harmattan/view/larousse-gyermekenciklopedia/")</f>
        <v>https://www.szaktars.hu/harmattan/view/larousse-gyermekenciklopedia/</v>
      </c>
    </row>
    <row r="2" spans="1:6" x14ac:dyDescent="0.25">
      <c r="A2" t="s">
        <v>4</v>
      </c>
      <c r="B2" t="s">
        <v>5</v>
      </c>
      <c r="C2" t="s">
        <v>6</v>
      </c>
      <c r="D2">
        <v>2016</v>
      </c>
      <c r="E2" t="s">
        <v>3</v>
      </c>
      <c r="F2" t="str">
        <f>HYPERLINK("https://www.szaktars.hu/harmattan/view/nem-hivatalos-biblia-minecraftereknek-biblia-tortenetek-block-okban/", "https://www.szaktars.hu/harmattan/view/nem-hivatalos-biblia-minecraftereknek-biblia-tortenetek-block-okban/")</f>
        <v>https://www.szaktars.hu/harmattan/view/nem-hivatalos-biblia-minecraftereknek-biblia-tortenetek-block-okban/</v>
      </c>
    </row>
    <row r="3" spans="1:6" x14ac:dyDescent="0.25">
      <c r="A3" t="s">
        <v>7</v>
      </c>
      <c r="B3" t="s">
        <v>8</v>
      </c>
      <c r="C3" t="s">
        <v>9</v>
      </c>
      <c r="D3">
        <v>2010</v>
      </c>
      <c r="E3" t="s">
        <v>3</v>
      </c>
      <c r="F3" t="str">
        <f>HYPERLINK("https://www.szaktars.hu/harmattan/view/papaszemes-manolito/", "https://www.szaktars.hu/harmattan/view/papaszemes-manolito/")</f>
        <v>https://www.szaktars.hu/harmattan/view/papaszemes-manolito/</v>
      </c>
    </row>
    <row r="4" spans="1:6" x14ac:dyDescent="0.25">
      <c r="A4" t="s">
        <v>10</v>
      </c>
      <c r="B4" t="s">
        <v>8</v>
      </c>
      <c r="C4" t="s">
        <v>11</v>
      </c>
      <c r="D4">
        <v>2010</v>
      </c>
      <c r="E4" t="s">
        <v>3</v>
      </c>
      <c r="F4" t="str">
        <f>HYPERLINK("https://www.szaktars.hu/harmattan/view/szegeny-manolito/", "https://www.szaktars.hu/harmattan/view/szegeny-manolito/")</f>
        <v>https://www.szaktars.hu/harmattan/view/szegeny-manolito/</v>
      </c>
    </row>
    <row r="5" spans="1:6" x14ac:dyDescent="0.25">
      <c r="A5" t="s">
        <v>12</v>
      </c>
      <c r="B5" t="s">
        <v>13</v>
      </c>
      <c r="C5" t="s">
        <v>14</v>
      </c>
      <c r="D5">
        <v>2006</v>
      </c>
      <c r="E5" t="s">
        <v>15</v>
      </c>
      <c r="F5" t="str">
        <f>HYPERLINK("https://www.szaktars.hu/harmattan/view/az-andaluziai-kutyatol-az-oldoklo-angyalig-forgatokonyvek-1/", "https://www.szaktars.hu/harmattan/view/az-andaluziai-kutyatol-az-oldoklo-angyalig-forgatokonyvek-1/")</f>
        <v>https://www.szaktars.hu/harmattan/view/az-andaluziai-kutyatol-az-oldoklo-angyalig-forgatokonyvek-1/</v>
      </c>
    </row>
    <row r="6" spans="1:6" x14ac:dyDescent="0.25">
      <c r="A6" t="s">
        <v>16</v>
      </c>
      <c r="B6" t="s">
        <v>13</v>
      </c>
      <c r="C6" t="s">
        <v>17</v>
      </c>
      <c r="D6">
        <v>2008</v>
      </c>
      <c r="E6" t="s">
        <v>15</v>
      </c>
      <c r="F6" t="str">
        <f>HYPERLINK("https://www.szaktars.hu/harmattan/view/az-egy-szobalany-naplojatol-a-tristanaig-forgatokonyvek-2/", "https://www.szaktars.hu/harmattan/view/az-egy-szobalany-naplojatol-a-tristanaig-forgatokonyvek-2/")</f>
        <v>https://www.szaktars.hu/harmattan/view/az-egy-szobalany-naplojatol-a-tristanaig-forgatokonyvek-2/</v>
      </c>
    </row>
    <row r="7" spans="1:6" x14ac:dyDescent="0.25">
      <c r="A7" t="s">
        <v>18</v>
      </c>
      <c r="B7" t="s">
        <v>19</v>
      </c>
      <c r="C7" t="s">
        <v>20</v>
      </c>
      <c r="D7">
        <v>2016</v>
      </c>
      <c r="E7" t="s">
        <v>21</v>
      </c>
      <c r="F7" t="str">
        <f>HYPERLINK("https://www.szaktars.hu/harmattan/view/parbaj/", "https://www.szaktars.hu/harmattan/view/parbaj/")</f>
        <v>https://www.szaktars.hu/harmattan/view/parbaj/</v>
      </c>
    </row>
    <row r="8" spans="1:6" x14ac:dyDescent="0.25">
      <c r="A8" t="s">
        <v>22</v>
      </c>
      <c r="B8" t="s">
        <v>23</v>
      </c>
      <c r="C8" t="s">
        <v>24</v>
      </c>
      <c r="D8">
        <v>2005</v>
      </c>
      <c r="E8" t="s">
        <v>21</v>
      </c>
      <c r="F8" t="str">
        <f>HYPERLINK("https://www.szaktars.hu/harmattan/view/kvarckep/", "https://www.szaktars.hu/harmattan/view/kvarckep/")</f>
        <v>https://www.szaktars.hu/harmattan/view/kvarckep/</v>
      </c>
    </row>
    <row r="9" spans="1:6" x14ac:dyDescent="0.25">
      <c r="A9" t="s">
        <v>25</v>
      </c>
      <c r="B9" t="s">
        <v>26</v>
      </c>
      <c r="C9" t="s">
        <v>27</v>
      </c>
      <c r="D9">
        <v>2011</v>
      </c>
      <c r="E9" t="s">
        <v>21</v>
      </c>
      <c r="F9" t="str">
        <f>HYPERLINK("https://www.szaktars.hu/harmattan/view/hajnali-kut-gyemanttengely-sorozat-5/", "https://www.szaktars.hu/harmattan/view/hajnali-kut-gyemanttengely-sorozat-5/")</f>
        <v>https://www.szaktars.hu/harmattan/view/hajnali-kut-gyemanttengely-sorozat-5/</v>
      </c>
    </row>
    <row r="10" spans="1:6" x14ac:dyDescent="0.25">
      <c r="A10" t="s">
        <v>28</v>
      </c>
      <c r="B10" t="s">
        <v>29</v>
      </c>
      <c r="C10" t="s">
        <v>3813</v>
      </c>
      <c r="D10">
        <v>2011</v>
      </c>
      <c r="E10" t="s">
        <v>21</v>
      </c>
      <c r="F10" t="str">
        <f>HYPERLINK("https://www.szaktars.hu/harmattan/view/jottem-a-gangesz-partjairol-bengali-kultura-es-magyar-irodalom/", "https://www.szaktars.hu/harmattan/view/jottem-a-gangesz-partjairol-bengali-kultura-es-magyar-irodalom/")</f>
        <v>https://www.szaktars.hu/harmattan/view/jottem-a-gangesz-partjairol-bengali-kultura-es-magyar-irodalom/</v>
      </c>
    </row>
    <row r="11" spans="1:6" x14ac:dyDescent="0.25">
      <c r="A11" t="s">
        <v>30</v>
      </c>
      <c r="B11" t="s">
        <v>31</v>
      </c>
      <c r="C11" t="s">
        <v>32</v>
      </c>
      <c r="D11">
        <v>2008</v>
      </c>
      <c r="E11" t="s">
        <v>21</v>
      </c>
      <c r="F11" t="str">
        <f>HYPERLINK("https://www.szaktars.hu/harmattan/view/filozofia-es-irodalom/", "https://www.szaktars.hu/harmattan/view/filozofia-es-irodalom/")</f>
        <v>https://www.szaktars.hu/harmattan/view/filozofia-es-irodalom/</v>
      </c>
    </row>
    <row r="12" spans="1:6" x14ac:dyDescent="0.25">
      <c r="A12" t="s">
        <v>33</v>
      </c>
      <c r="B12" t="s">
        <v>34</v>
      </c>
      <c r="C12" t="s">
        <v>35</v>
      </c>
      <c r="D12">
        <v>2014</v>
      </c>
      <c r="E12" t="s">
        <v>21</v>
      </c>
      <c r="F12" t="str">
        <f>HYPERLINK("https://www.szaktars.hu/harmattan/view/keseru-igazsagok-tanulmanyok-es-kritikak/", "https://www.szaktars.hu/harmattan/view/keseru-igazsagok-tanulmanyok-es-kritikak/")</f>
        <v>https://www.szaktars.hu/harmattan/view/keseru-igazsagok-tanulmanyok-es-kritikak/</v>
      </c>
    </row>
    <row r="13" spans="1:6" x14ac:dyDescent="0.25">
      <c r="A13" t="s">
        <v>36</v>
      </c>
      <c r="B13" t="s">
        <v>37</v>
      </c>
      <c r="C13" t="s">
        <v>38</v>
      </c>
      <c r="D13">
        <v>2016</v>
      </c>
      <c r="E13" t="s">
        <v>21</v>
      </c>
      <c r="F13" t="str">
        <f>HYPERLINK("https://www.szaktars.hu/harmattan/view/noctambulo-egy-alvajaro-tortenete/", "https://www.szaktars.hu/harmattan/view/noctambulo-egy-alvajaro-tortenete/")</f>
        <v>https://www.szaktars.hu/harmattan/view/noctambulo-egy-alvajaro-tortenete/</v>
      </c>
    </row>
    <row r="14" spans="1:6" x14ac:dyDescent="0.25">
      <c r="A14" t="s">
        <v>39</v>
      </c>
      <c r="B14" t="s">
        <v>40</v>
      </c>
      <c r="C14" t="s">
        <v>41</v>
      </c>
      <c r="D14">
        <v>2016</v>
      </c>
      <c r="E14" t="s">
        <v>21</v>
      </c>
      <c r="F14" t="str">
        <f>HYPERLINK("https://www.szaktars.hu/harmattan/view/cko-a-fenykepesz/", "https://www.szaktars.hu/harmattan/view/cko-a-fenykepesz/")</f>
        <v>https://www.szaktars.hu/harmattan/view/cko-a-fenykepesz/</v>
      </c>
    </row>
    <row r="15" spans="1:6" x14ac:dyDescent="0.25">
      <c r="A15" t="s">
        <v>42</v>
      </c>
      <c r="B15" t="s">
        <v>40</v>
      </c>
      <c r="C15" t="s">
        <v>43</v>
      </c>
      <c r="D15">
        <v>2013</v>
      </c>
      <c r="E15" t="s">
        <v>21</v>
      </c>
      <c r="F15" t="str">
        <f>HYPERLINK("https://www.szaktars.hu/harmattan/view/diszcserje-kisasszony/", "https://www.szaktars.hu/harmattan/view/diszcserje-kisasszony/")</f>
        <v>https://www.szaktars.hu/harmattan/view/diszcserje-kisasszony/</v>
      </c>
    </row>
    <row r="16" spans="1:6" x14ac:dyDescent="0.25">
      <c r="A16" t="s">
        <v>44</v>
      </c>
      <c r="B16" t="s">
        <v>40</v>
      </c>
      <c r="C16" t="s">
        <v>45</v>
      </c>
      <c r="D16">
        <v>2013</v>
      </c>
      <c r="E16" t="s">
        <v>21</v>
      </c>
      <c r="F16" t="str">
        <f>HYPERLINK("https://www.szaktars.hu/harmattan/view/v-es-u-ii-jelzomuvesz/", "https://www.szaktars.hu/harmattan/view/v-es-u-ii-jelzomuvesz/")</f>
        <v>https://www.szaktars.hu/harmattan/view/v-es-u-ii-jelzomuvesz/</v>
      </c>
    </row>
    <row r="17" spans="1:6" x14ac:dyDescent="0.25">
      <c r="A17" t="s">
        <v>46</v>
      </c>
      <c r="B17" t="s">
        <v>47</v>
      </c>
      <c r="C17" t="s">
        <v>48</v>
      </c>
      <c r="D17">
        <v>2006</v>
      </c>
      <c r="E17" t="s">
        <v>21</v>
      </c>
      <c r="F17" t="str">
        <f>HYPERLINK("https://www.szaktars.hu/harmattan/view/hazajottem/", "https://www.szaktars.hu/harmattan/view/hazajottem/")</f>
        <v>https://www.szaktars.hu/harmattan/view/hazajottem/</v>
      </c>
    </row>
    <row r="18" spans="1:6" x14ac:dyDescent="0.25">
      <c r="A18" t="s">
        <v>49</v>
      </c>
      <c r="B18" t="s">
        <v>50</v>
      </c>
      <c r="C18" t="s">
        <v>51</v>
      </c>
      <c r="D18">
        <v>2014</v>
      </c>
      <c r="E18" t="s">
        <v>21</v>
      </c>
      <c r="F18" t="str">
        <f>HYPERLINK("https://www.szaktars.hu/harmattan/view/gyarlosagok-konyve/", "https://www.szaktars.hu/harmattan/view/gyarlosagok-konyve/")</f>
        <v>https://www.szaktars.hu/harmattan/view/gyarlosagok-konyve/</v>
      </c>
    </row>
    <row r="19" spans="1:6" x14ac:dyDescent="0.25">
      <c r="A19" t="s">
        <v>52</v>
      </c>
      <c r="B19" t="s">
        <v>53</v>
      </c>
      <c r="C19" t="s">
        <v>54</v>
      </c>
      <c r="D19">
        <v>2005</v>
      </c>
      <c r="E19" t="s">
        <v>21</v>
      </c>
      <c r="F19" t="str">
        <f>HYPERLINK("https://www.szaktars.hu/harmattan/view/milyen-a-magyar-50-hungarikum/", "https://www.szaktars.hu/harmattan/view/milyen-a-magyar-50-hungarikum/")</f>
        <v>https://www.szaktars.hu/harmattan/view/milyen-a-magyar-50-hungarikum/</v>
      </c>
    </row>
    <row r="20" spans="1:6" x14ac:dyDescent="0.25">
      <c r="A20" t="s">
        <v>55</v>
      </c>
      <c r="B20" t="s">
        <v>56</v>
      </c>
      <c r="C20" t="s">
        <v>57</v>
      </c>
      <c r="D20">
        <v>2007</v>
      </c>
      <c r="E20" t="s">
        <v>21</v>
      </c>
      <c r="F20" t="str">
        <f>HYPERLINK("https://www.szaktars.hu/harmattan/view/elni-a-melyben/", "https://www.szaktars.hu/harmattan/view/elni-a-melyben/")</f>
        <v>https://www.szaktars.hu/harmattan/view/elni-a-melyben/</v>
      </c>
    </row>
    <row r="21" spans="1:6" x14ac:dyDescent="0.25">
      <c r="A21" t="s">
        <v>58</v>
      </c>
      <c r="B21" t="s">
        <v>59</v>
      </c>
      <c r="C21" t="s">
        <v>60</v>
      </c>
      <c r="D21">
        <v>2012</v>
      </c>
      <c r="E21" t="s">
        <v>21</v>
      </c>
      <c r="F21" t="str">
        <f>HYPERLINK("https://www.szaktars.hu/harmattan/view/dalok-konyve/", "https://www.szaktars.hu/harmattan/view/dalok-konyve/")</f>
        <v>https://www.szaktars.hu/harmattan/view/dalok-konyve/</v>
      </c>
    </row>
    <row r="22" spans="1:6" x14ac:dyDescent="0.25">
      <c r="A22" t="s">
        <v>61</v>
      </c>
      <c r="B22" t="s">
        <v>62</v>
      </c>
      <c r="C22" t="s">
        <v>63</v>
      </c>
      <c r="D22">
        <v>2012</v>
      </c>
      <c r="E22" t="s">
        <v>21</v>
      </c>
      <c r="F22" t="str">
        <f>HYPERLINK("https://www.szaktars.hu/harmattan/view/egy-apaca-tortenete/", "https://www.szaktars.hu/harmattan/view/egy-apaca-tortenete/")</f>
        <v>https://www.szaktars.hu/harmattan/view/egy-apaca-tortenete/</v>
      </c>
    </row>
    <row r="23" spans="1:6" x14ac:dyDescent="0.25">
      <c r="A23" t="s">
        <v>64</v>
      </c>
      <c r="B23" t="s">
        <v>65</v>
      </c>
      <c r="C23" t="s">
        <v>66</v>
      </c>
      <c r="D23">
        <v>2014</v>
      </c>
      <c r="E23" t="s">
        <v>21</v>
      </c>
      <c r="F23" t="str">
        <f>HYPERLINK("https://www.szaktars.hu/harmattan/view/kepeskonyv/", "https://www.szaktars.hu/harmattan/view/kepeskonyv/")</f>
        <v>https://www.szaktars.hu/harmattan/view/kepeskonyv/</v>
      </c>
    </row>
    <row r="24" spans="1:6" x14ac:dyDescent="0.25">
      <c r="A24" t="s">
        <v>67</v>
      </c>
      <c r="B24" t="s">
        <v>68</v>
      </c>
      <c r="C24" t="s">
        <v>69</v>
      </c>
      <c r="D24">
        <v>2015</v>
      </c>
      <c r="E24" t="s">
        <v>21</v>
      </c>
      <c r="F24" t="str">
        <f>HYPERLINK("https://www.szaktars.hu/harmattan/view/titokbhakta-gyemanttengely-sorozat-13/", "https://www.szaktars.hu/harmattan/view/titokbhakta-gyemanttengely-sorozat-13/")</f>
        <v>https://www.szaktars.hu/harmattan/view/titokbhakta-gyemanttengely-sorozat-13/</v>
      </c>
    </row>
    <row r="25" spans="1:6" x14ac:dyDescent="0.25">
      <c r="A25" t="s">
        <v>70</v>
      </c>
      <c r="B25" t="s">
        <v>71</v>
      </c>
      <c r="C25" t="s">
        <v>72</v>
      </c>
      <c r="D25">
        <v>2007</v>
      </c>
      <c r="E25" t="s">
        <v>21</v>
      </c>
      <c r="F25" t="str">
        <f>HYPERLINK("https://www.szaktars.hu/harmattan/view/repulesi-kezikonyv-versek-es-prozai-irasok/", "https://www.szaktars.hu/harmattan/view/repulesi-kezikonyv-versek-es-prozai-irasok/")</f>
        <v>https://www.szaktars.hu/harmattan/view/repulesi-kezikonyv-versek-es-prozai-irasok/</v>
      </c>
    </row>
    <row r="26" spans="1:6" x14ac:dyDescent="0.25">
      <c r="A26" t="s">
        <v>73</v>
      </c>
      <c r="B26" t="s">
        <v>74</v>
      </c>
      <c r="C26" t="s">
        <v>75</v>
      </c>
      <c r="D26">
        <v>2016</v>
      </c>
      <c r="E26" t="s">
        <v>21</v>
      </c>
      <c r="F26" t="str">
        <f>HYPERLINK("https://www.szaktars.hu/harmattan/view/kitero/", "https://www.szaktars.hu/harmattan/view/kitero/")</f>
        <v>https://www.szaktars.hu/harmattan/view/kitero/</v>
      </c>
    </row>
    <row r="27" spans="1:6" x14ac:dyDescent="0.25">
      <c r="A27" t="s">
        <v>76</v>
      </c>
      <c r="B27" t="s">
        <v>74</v>
      </c>
      <c r="C27" t="s">
        <v>77</v>
      </c>
      <c r="D27">
        <v>2015</v>
      </c>
      <c r="E27" t="s">
        <v>21</v>
      </c>
      <c r="F27" t="str">
        <f>HYPERLINK("https://www.szaktars.hu/harmattan/view/sodrodo-palackposta-jegyzetlapok-2013/", "https://www.szaktars.hu/harmattan/view/sodrodo-palackposta-jegyzetlapok-2013/")</f>
        <v>https://www.szaktars.hu/harmattan/view/sodrodo-palackposta-jegyzetlapok-2013/</v>
      </c>
    </row>
    <row r="28" spans="1:6" x14ac:dyDescent="0.25">
      <c r="A28" t="s">
        <v>78</v>
      </c>
      <c r="B28" t="s">
        <v>74</v>
      </c>
      <c r="C28" t="s">
        <v>79</v>
      </c>
      <c r="D28">
        <v>2013</v>
      </c>
      <c r="E28" t="s">
        <v>21</v>
      </c>
      <c r="F28" t="str">
        <f>HYPERLINK("https://www.szaktars.hu/harmattan/view/platofazis/", "https://www.szaktars.hu/harmattan/view/platofazis/")</f>
        <v>https://www.szaktars.hu/harmattan/view/platofazis/</v>
      </c>
    </row>
    <row r="29" spans="1:6" x14ac:dyDescent="0.25">
      <c r="A29" t="s">
        <v>80</v>
      </c>
      <c r="B29" t="s">
        <v>81</v>
      </c>
      <c r="C29" t="s">
        <v>82</v>
      </c>
      <c r="D29">
        <v>2013</v>
      </c>
      <c r="E29" t="s">
        <v>21</v>
      </c>
      <c r="F29" t="str">
        <f>HYPERLINK("https://www.szaktars.hu/harmattan/view/antantmisszio/", "https://www.szaktars.hu/harmattan/view/antantmisszio/")</f>
        <v>https://www.szaktars.hu/harmattan/view/antantmisszio/</v>
      </c>
    </row>
    <row r="30" spans="1:6" x14ac:dyDescent="0.25">
      <c r="A30" t="s">
        <v>83</v>
      </c>
      <c r="B30" t="s">
        <v>84</v>
      </c>
      <c r="C30" t="s">
        <v>85</v>
      </c>
      <c r="D30">
        <v>2005</v>
      </c>
      <c r="E30" t="s">
        <v>21</v>
      </c>
      <c r="F30" t="str">
        <f>HYPERLINK("https://www.szaktars.hu/harmattan/view/a-passziv-apasziv-ot-eredeti-szinmu/", "https://www.szaktars.hu/harmattan/view/a-passziv-apasziv-ot-eredeti-szinmu/")</f>
        <v>https://www.szaktars.hu/harmattan/view/a-passziv-apasziv-ot-eredeti-szinmu/</v>
      </c>
    </row>
    <row r="31" spans="1:6" x14ac:dyDescent="0.25">
      <c r="A31" t="s">
        <v>86</v>
      </c>
      <c r="B31" t="s">
        <v>87</v>
      </c>
      <c r="C31" t="s">
        <v>88</v>
      </c>
      <c r="D31">
        <v>2014</v>
      </c>
      <c r="E31" t="s">
        <v>21</v>
      </c>
      <c r="F31" t="str">
        <f>HYPERLINK("https://www.szaktars.hu/harmattan/view/a-kisfa-galeri/", "https://www.szaktars.hu/harmattan/view/a-kisfa-galeri/")</f>
        <v>https://www.szaktars.hu/harmattan/view/a-kisfa-galeri/</v>
      </c>
    </row>
    <row r="32" spans="1:6" x14ac:dyDescent="0.25">
      <c r="A32" t="s">
        <v>89</v>
      </c>
      <c r="B32" t="s">
        <v>87</v>
      </c>
      <c r="C32" t="s">
        <v>90</v>
      </c>
      <c r="D32">
        <v>2011</v>
      </c>
      <c r="E32" t="s">
        <v>21</v>
      </c>
      <c r="F32" t="str">
        <f>HYPERLINK("https://www.szaktars.hu/harmattan/view/kie-ez-az-arc/", "https://www.szaktars.hu/harmattan/view/kie-ez-az-arc/")</f>
        <v>https://www.szaktars.hu/harmattan/view/kie-ez-az-arc/</v>
      </c>
    </row>
    <row r="33" spans="1:6" x14ac:dyDescent="0.25">
      <c r="A33" t="s">
        <v>91</v>
      </c>
      <c r="B33" t="s">
        <v>92</v>
      </c>
      <c r="C33" t="s">
        <v>93</v>
      </c>
      <c r="D33">
        <v>2016</v>
      </c>
      <c r="E33" t="s">
        <v>21</v>
      </c>
      <c r="F33" t="str">
        <f>HYPERLINK("https://www.szaktars.hu/harmattan/view/kalaka/", "https://www.szaktars.hu/harmattan/view/kalaka/")</f>
        <v>https://www.szaktars.hu/harmattan/view/kalaka/</v>
      </c>
    </row>
    <row r="34" spans="1:6" x14ac:dyDescent="0.25">
      <c r="A34" t="s">
        <v>94</v>
      </c>
      <c r="B34" t="s">
        <v>95</v>
      </c>
      <c r="C34" t="s">
        <v>96</v>
      </c>
      <c r="D34">
        <v>2012</v>
      </c>
      <c r="E34" t="s">
        <v>21</v>
      </c>
      <c r="F34" t="str">
        <f>HYPERLINK("https://www.szaktars.hu/harmattan/view/az-algebra-vivmanyai-az-indiai-matematika-klasszikus-korszakaban-india-konyvtar-3/", "https://www.szaktars.hu/harmattan/view/az-algebra-vivmanyai-az-indiai-matematika-klasszikus-korszakaban-india-konyvtar-3/")</f>
        <v>https://www.szaktars.hu/harmattan/view/az-algebra-vivmanyai-az-indiai-matematika-klasszikus-korszakaban-india-konyvtar-3/</v>
      </c>
    </row>
    <row r="35" spans="1:6" x14ac:dyDescent="0.25">
      <c r="A35" t="s">
        <v>97</v>
      </c>
      <c r="B35" t="s">
        <v>98</v>
      </c>
      <c r="C35" t="s">
        <v>99</v>
      </c>
      <c r="D35">
        <v>2015</v>
      </c>
      <c r="E35" t="s">
        <v>21</v>
      </c>
      <c r="F35" t="str">
        <f>HYPERLINK("https://www.szaktars.hu/harmattan/view/alterego-tarcanovellak/", "https://www.szaktars.hu/harmattan/view/alterego-tarcanovellak/")</f>
        <v>https://www.szaktars.hu/harmattan/view/alterego-tarcanovellak/</v>
      </c>
    </row>
    <row r="36" spans="1:6" x14ac:dyDescent="0.25">
      <c r="A36" t="s">
        <v>100</v>
      </c>
      <c r="B36" t="s">
        <v>98</v>
      </c>
      <c r="C36" t="s">
        <v>101</v>
      </c>
      <c r="D36">
        <v>2012</v>
      </c>
      <c r="E36" t="s">
        <v>21</v>
      </c>
      <c r="F36" t="str">
        <f>HYPERLINK("https://www.szaktars.hu/harmattan/view/a-moll-szonata-harom-szindarab/", "https://www.szaktars.hu/harmattan/view/a-moll-szonata-harom-szindarab/")</f>
        <v>https://www.szaktars.hu/harmattan/view/a-moll-szonata-harom-szindarab/</v>
      </c>
    </row>
    <row r="37" spans="1:6" x14ac:dyDescent="0.25">
      <c r="A37" t="s">
        <v>102</v>
      </c>
      <c r="B37" t="s">
        <v>98</v>
      </c>
      <c r="C37" t="s">
        <v>103</v>
      </c>
      <c r="D37">
        <v>2011</v>
      </c>
      <c r="E37" t="s">
        <v>21</v>
      </c>
      <c r="F37" t="str">
        <f>HYPERLINK("https://www.szaktars.hu/harmattan/view/atszallas-zurichben-elbeszelesek/", "https://www.szaktars.hu/harmattan/view/atszallas-zurichben-elbeszelesek/")</f>
        <v>https://www.szaktars.hu/harmattan/view/atszallas-zurichben-elbeszelesek/</v>
      </c>
    </row>
    <row r="38" spans="1:6" x14ac:dyDescent="0.25">
      <c r="A38" t="s">
        <v>104</v>
      </c>
      <c r="B38" t="s">
        <v>105</v>
      </c>
      <c r="C38" t="s">
        <v>106</v>
      </c>
      <c r="D38">
        <v>2015</v>
      </c>
      <c r="E38" t="s">
        <v>21</v>
      </c>
      <c r="F38" t="str">
        <f>HYPERLINK("https://www.szaktars.hu/harmattan/view/meg-ma-velem-leszel/", "https://www.szaktars.hu/harmattan/view/meg-ma-velem-leszel/")</f>
        <v>https://www.szaktars.hu/harmattan/view/meg-ma-velem-leszel/</v>
      </c>
    </row>
    <row r="39" spans="1:6" x14ac:dyDescent="0.25">
      <c r="A39" t="s">
        <v>107</v>
      </c>
      <c r="B39" t="s">
        <v>108</v>
      </c>
      <c r="C39" t="s">
        <v>109</v>
      </c>
      <c r="D39">
        <v>2013</v>
      </c>
      <c r="E39" t="s">
        <v>21</v>
      </c>
      <c r="F39" t="str">
        <f>HYPERLINK("https://www.szaktars.hu/harmattan/view/hotel-havanna-tizenhat-szelid-tortenet/", "https://www.szaktars.hu/harmattan/view/hotel-havanna-tizenhat-szelid-tortenet/")</f>
        <v>https://www.szaktars.hu/harmattan/view/hotel-havanna-tizenhat-szelid-tortenet/</v>
      </c>
    </row>
    <row r="40" spans="1:6" x14ac:dyDescent="0.25">
      <c r="A40" t="s">
        <v>110</v>
      </c>
      <c r="B40" t="s">
        <v>111</v>
      </c>
      <c r="C40" t="s">
        <v>112</v>
      </c>
      <c r="D40">
        <v>2012</v>
      </c>
      <c r="E40" t="s">
        <v>21</v>
      </c>
      <c r="F40" t="str">
        <f>HYPERLINK("https://www.szaktars.hu/harmattan/view/mirelit/", "https://www.szaktars.hu/harmattan/view/mirelit/")</f>
        <v>https://www.szaktars.hu/harmattan/view/mirelit/</v>
      </c>
    </row>
    <row r="41" spans="1:6" x14ac:dyDescent="0.25">
      <c r="A41" t="s">
        <v>113</v>
      </c>
      <c r="B41" t="s">
        <v>114</v>
      </c>
      <c r="C41" t="s">
        <v>115</v>
      </c>
      <c r="D41">
        <v>2007</v>
      </c>
      <c r="E41" t="s">
        <v>21</v>
      </c>
      <c r="F41" t="str">
        <f>HYPERLINK("https://www.szaktars.hu/harmattan/view/egeszresz-fiatal-koltok-antologiaja/", "https://www.szaktars.hu/harmattan/view/egeszresz-fiatal-koltok-antologiaja/")</f>
        <v>https://www.szaktars.hu/harmattan/view/egeszresz-fiatal-koltok-antologiaja/</v>
      </c>
    </row>
    <row r="42" spans="1:6" x14ac:dyDescent="0.25">
      <c r="A42" t="s">
        <v>116</v>
      </c>
      <c r="B42" t="s">
        <v>117</v>
      </c>
      <c r="C42" t="s">
        <v>118</v>
      </c>
      <c r="D42">
        <v>2008</v>
      </c>
      <c r="E42" t="s">
        <v>21</v>
      </c>
      <c r="F42" t="str">
        <f>HYPERLINK("https://www.szaktars.hu/harmattan/view/az-alomadas-szentandrassy-istvan-karaktervazlataival/", "https://www.szaktars.hu/harmattan/view/az-alomadas-szentandrassy-istvan-karaktervazlataival/")</f>
        <v>https://www.szaktars.hu/harmattan/view/az-alomadas-szentandrassy-istvan-karaktervazlataival/</v>
      </c>
    </row>
    <row r="43" spans="1:6" x14ac:dyDescent="0.25">
      <c r="A43" t="s">
        <v>119</v>
      </c>
      <c r="B43" t="s">
        <v>120</v>
      </c>
      <c r="C43" t="s">
        <v>121</v>
      </c>
      <c r="D43">
        <v>2015</v>
      </c>
      <c r="E43" t="s">
        <v>21</v>
      </c>
      <c r="F43" t="str">
        <f>HYPERLINK("https://www.szaktars.hu/harmattan/view/eso-es-telefon-regenyes-filmdramaturgia/", "https://www.szaktars.hu/harmattan/view/eso-es-telefon-regenyes-filmdramaturgia/")</f>
        <v>https://www.szaktars.hu/harmattan/view/eso-es-telefon-regenyes-filmdramaturgia/</v>
      </c>
    </row>
    <row r="44" spans="1:6" x14ac:dyDescent="0.25">
      <c r="A44" t="s">
        <v>122</v>
      </c>
      <c r="B44" t="s">
        <v>123</v>
      </c>
      <c r="C44" t="s">
        <v>124</v>
      </c>
      <c r="D44">
        <v>2011</v>
      </c>
      <c r="E44" t="s">
        <v>21</v>
      </c>
      <c r="F44" t="str">
        <f>HYPERLINK("https://www.szaktars.hu/harmattan/view/ragozas/", "https://www.szaktars.hu/harmattan/view/ragozas/")</f>
        <v>https://www.szaktars.hu/harmattan/view/ragozas/</v>
      </c>
    </row>
    <row r="45" spans="1:6" x14ac:dyDescent="0.25">
      <c r="A45" t="s">
        <v>125</v>
      </c>
      <c r="B45" t="s">
        <v>126</v>
      </c>
      <c r="C45" t="s">
        <v>127</v>
      </c>
      <c r="D45">
        <v>2013</v>
      </c>
      <c r="E45" t="s">
        <v>21</v>
      </c>
      <c r="F45" t="str">
        <f>HYPERLINK("https://www.szaktars.hu/harmattan/view/egre-irt-konyv/", "https://www.szaktars.hu/harmattan/view/egre-irt-konyv/")</f>
        <v>https://www.szaktars.hu/harmattan/view/egre-irt-konyv/</v>
      </c>
    </row>
    <row r="46" spans="1:6" x14ac:dyDescent="0.25">
      <c r="A46" t="s">
        <v>128</v>
      </c>
      <c r="B46" t="s">
        <v>126</v>
      </c>
      <c r="C46" t="s">
        <v>129</v>
      </c>
      <c r="D46">
        <v>2011</v>
      </c>
      <c r="E46" t="s">
        <v>21</v>
      </c>
      <c r="F46" t="str">
        <f>HYPERLINK("https://www.szaktars.hu/harmattan/view/enekek-eneke/", "https://www.szaktars.hu/harmattan/view/enekek-eneke/")</f>
        <v>https://www.szaktars.hu/harmattan/view/enekek-eneke/</v>
      </c>
    </row>
    <row r="47" spans="1:6" x14ac:dyDescent="0.25">
      <c r="A47" t="s">
        <v>130</v>
      </c>
      <c r="B47" t="s">
        <v>126</v>
      </c>
      <c r="C47" t="s">
        <v>131</v>
      </c>
      <c r="D47">
        <v>2010</v>
      </c>
      <c r="E47" t="s">
        <v>21</v>
      </c>
      <c r="F47" t="str">
        <f>HYPERLINK("https://www.szaktars.hu/harmattan/view/hova-menekulsz/", "https://www.szaktars.hu/harmattan/view/hova-menekulsz/")</f>
        <v>https://www.szaktars.hu/harmattan/view/hova-menekulsz/</v>
      </c>
    </row>
    <row r="48" spans="1:6" x14ac:dyDescent="0.25">
      <c r="A48" t="s">
        <v>132</v>
      </c>
      <c r="B48" t="s">
        <v>126</v>
      </c>
      <c r="C48" t="s">
        <v>133</v>
      </c>
      <c r="D48">
        <v>2014</v>
      </c>
      <c r="E48" t="s">
        <v>21</v>
      </c>
      <c r="F48" t="str">
        <f>HYPERLINK("https://www.szaktars.hu/harmattan/view/pergamen/", "https://www.szaktars.hu/harmattan/view/pergamen/")</f>
        <v>https://www.szaktars.hu/harmattan/view/pergamen/</v>
      </c>
    </row>
    <row r="49" spans="1:6" x14ac:dyDescent="0.25">
      <c r="A49" t="s">
        <v>134</v>
      </c>
      <c r="B49" t="s">
        <v>135</v>
      </c>
      <c r="C49" t="s">
        <v>136</v>
      </c>
      <c r="D49">
        <v>2005</v>
      </c>
      <c r="E49" t="s">
        <v>21</v>
      </c>
      <c r="F49" t="str">
        <f>HYPERLINK("https://www.szaktars.hu/harmattan/view/muveszet-es-hatalom-a-kadar-korszak-muveszete/", "https://www.szaktars.hu/harmattan/view/muveszet-es-hatalom-a-kadar-korszak-muveszete/")</f>
        <v>https://www.szaktars.hu/harmattan/view/muveszet-es-hatalom-a-kadar-korszak-muveszete/</v>
      </c>
    </row>
    <row r="50" spans="1:6" x14ac:dyDescent="0.25">
      <c r="A50" t="s">
        <v>137</v>
      </c>
      <c r="B50" t="s">
        <v>138</v>
      </c>
      <c r="C50" t="s">
        <v>139</v>
      </c>
      <c r="D50">
        <v>2006</v>
      </c>
      <c r="E50" t="s">
        <v>21</v>
      </c>
      <c r="F50" t="str">
        <f>HYPERLINK("https://www.szaktars.hu/harmattan/view/ventilator-blues-valogatott-dalszovegek/", "https://www.szaktars.hu/harmattan/view/ventilator-blues-valogatott-dalszovegek/")</f>
        <v>https://www.szaktars.hu/harmattan/view/ventilator-blues-valogatott-dalszovegek/</v>
      </c>
    </row>
    <row r="51" spans="1:6" x14ac:dyDescent="0.25">
      <c r="A51" t="s">
        <v>140</v>
      </c>
      <c r="B51" t="s">
        <v>141</v>
      </c>
      <c r="C51" t="s">
        <v>142</v>
      </c>
      <c r="D51">
        <v>2013</v>
      </c>
      <c r="E51" t="s">
        <v>21</v>
      </c>
      <c r="F51" t="str">
        <f>HYPERLINK("https://www.szaktars.hu/harmattan/view/hiaba-tekerek/", "https://www.szaktars.hu/harmattan/view/hiaba-tekerek/")</f>
        <v>https://www.szaktars.hu/harmattan/view/hiaba-tekerek/</v>
      </c>
    </row>
    <row r="52" spans="1:6" x14ac:dyDescent="0.25">
      <c r="A52" t="s">
        <v>143</v>
      </c>
      <c r="B52" t="s">
        <v>144</v>
      </c>
      <c r="C52" t="s">
        <v>145</v>
      </c>
      <c r="D52">
        <v>2013</v>
      </c>
      <c r="E52" t="s">
        <v>21</v>
      </c>
      <c r="F52" t="str">
        <f>HYPERLINK("https://www.szaktars.hu/harmattan/view/az-utolso-mester/", "https://www.szaktars.hu/harmattan/view/az-utolso-mester/")</f>
        <v>https://www.szaktars.hu/harmattan/view/az-utolso-mester/</v>
      </c>
    </row>
    <row r="53" spans="1:6" x14ac:dyDescent="0.25">
      <c r="A53" t="s">
        <v>146</v>
      </c>
      <c r="B53" t="s">
        <v>147</v>
      </c>
      <c r="C53" t="s">
        <v>148</v>
      </c>
      <c r="D53" t="s">
        <v>149</v>
      </c>
      <c r="E53" t="s">
        <v>21</v>
      </c>
      <c r="F53" t="str">
        <f>HYPERLINK("https://www.szaktars.hu/harmattan/view/kimeletlen-szentimentalizmus-esszek-kritikak/", "https://www.szaktars.hu/harmattan/view/kimeletlen-szentimentalizmus-esszek-kritikak/")</f>
        <v>https://www.szaktars.hu/harmattan/view/kimeletlen-szentimentalizmus-esszek-kritikak/</v>
      </c>
    </row>
    <row r="54" spans="1:6" x14ac:dyDescent="0.25">
      <c r="A54" t="s">
        <v>150</v>
      </c>
      <c r="B54" t="s">
        <v>151</v>
      </c>
      <c r="C54" t="s">
        <v>152</v>
      </c>
      <c r="D54">
        <v>2011</v>
      </c>
      <c r="E54" t="s">
        <v>21</v>
      </c>
      <c r="F54" t="str">
        <f>HYPERLINK("https://www.szaktars.hu/harmattan/view/szulsz/", "https://www.szaktars.hu/harmattan/view/szulsz/")</f>
        <v>https://www.szaktars.hu/harmattan/view/szulsz/</v>
      </c>
    </row>
    <row r="55" spans="1:6" x14ac:dyDescent="0.25">
      <c r="A55" t="s">
        <v>153</v>
      </c>
      <c r="B55" t="s">
        <v>154</v>
      </c>
      <c r="C55" t="s">
        <v>155</v>
      </c>
      <c r="D55">
        <v>2012</v>
      </c>
      <c r="E55" t="s">
        <v>21</v>
      </c>
      <c r="F55" t="str">
        <f>HYPERLINK("https://www.szaktars.hu/harmattan/view/fustos-kepek-szentandrassy-istvan-illusztracioival/", "https://www.szaktars.hu/harmattan/view/fustos-kepek-szentandrassy-istvan-illusztracioival/")</f>
        <v>https://www.szaktars.hu/harmattan/view/fustos-kepek-szentandrassy-istvan-illusztracioival/</v>
      </c>
    </row>
    <row r="56" spans="1:6" x14ac:dyDescent="0.25">
      <c r="A56" t="s">
        <v>156</v>
      </c>
      <c r="B56" t="s">
        <v>157</v>
      </c>
      <c r="C56" t="s">
        <v>158</v>
      </c>
      <c r="D56">
        <v>2007</v>
      </c>
      <c r="E56" t="s">
        <v>21</v>
      </c>
      <c r="F56" t="str">
        <f>HYPERLINK("https://www.szaktars.hu/harmattan/view/feher-daloskonyv/", "https://www.szaktars.hu/harmattan/view/feher-daloskonyv/")</f>
        <v>https://www.szaktars.hu/harmattan/view/feher-daloskonyv/</v>
      </c>
    </row>
    <row r="57" spans="1:6" x14ac:dyDescent="0.25">
      <c r="A57" t="s">
        <v>159</v>
      </c>
      <c r="B57" t="s">
        <v>160</v>
      </c>
      <c r="C57" t="s">
        <v>161</v>
      </c>
      <c r="D57">
        <v>2006</v>
      </c>
      <c r="E57" t="s">
        <v>21</v>
      </c>
      <c r="F57" t="str">
        <f>HYPERLINK("https://www.szaktars.hu/harmattan/view/ordog/", "https://www.szaktars.hu/harmattan/view/ordog/")</f>
        <v>https://www.szaktars.hu/harmattan/view/ordog/</v>
      </c>
    </row>
    <row r="58" spans="1:6" x14ac:dyDescent="0.25">
      <c r="A58" t="s">
        <v>162</v>
      </c>
      <c r="B58" t="s">
        <v>163</v>
      </c>
      <c r="C58" t="s">
        <v>164</v>
      </c>
      <c r="D58">
        <v>2011</v>
      </c>
      <c r="E58" t="s">
        <v>21</v>
      </c>
      <c r="F58" t="str">
        <f>HYPERLINK("https://www.szaktars.hu/harmattan/view/az-utolso-funky/", "https://www.szaktars.hu/harmattan/view/az-utolso-funky/")</f>
        <v>https://www.szaktars.hu/harmattan/view/az-utolso-funky/</v>
      </c>
    </row>
    <row r="59" spans="1:6" x14ac:dyDescent="0.25">
      <c r="A59" t="s">
        <v>165</v>
      </c>
      <c r="B59" t="s">
        <v>163</v>
      </c>
      <c r="C59" t="s">
        <v>166</v>
      </c>
      <c r="D59">
        <v>2016</v>
      </c>
      <c r="E59" t="s">
        <v>21</v>
      </c>
      <c r="F59" t="str">
        <f>HYPERLINK("https://www.szaktars.hu/harmattan/view/senkifoldje/", "https://www.szaktars.hu/harmattan/view/senkifoldje/")</f>
        <v>https://www.szaktars.hu/harmattan/view/senkifoldje/</v>
      </c>
    </row>
    <row r="60" spans="1:6" x14ac:dyDescent="0.25">
      <c r="A60" t="s">
        <v>167</v>
      </c>
      <c r="B60" t="s">
        <v>168</v>
      </c>
      <c r="C60" t="s">
        <v>169</v>
      </c>
      <c r="D60">
        <v>2016</v>
      </c>
      <c r="E60" t="s">
        <v>21</v>
      </c>
      <c r="F60" t="str">
        <f>HYPERLINK("https://www.szaktars.hu/harmattan/view/zokogo-zarandokok-tortenelem-irodalom-oneletrajz-szilankok/", "https://www.szaktars.hu/harmattan/view/zokogo-zarandokok-tortenelem-irodalom-oneletrajz-szilankok/")</f>
        <v>https://www.szaktars.hu/harmattan/view/zokogo-zarandokok-tortenelem-irodalom-oneletrajz-szilankok/</v>
      </c>
    </row>
    <row r="61" spans="1:6" x14ac:dyDescent="0.25">
      <c r="A61" t="s">
        <v>170</v>
      </c>
      <c r="B61" t="s">
        <v>171</v>
      </c>
      <c r="C61" t="s">
        <v>172</v>
      </c>
      <c r="D61">
        <v>2016</v>
      </c>
      <c r="E61" t="s">
        <v>21</v>
      </c>
      <c r="F61" t="str">
        <f>HYPERLINK("https://www.szaktars.hu/harmattan/view/tainted-love-romlott-vagy/", "https://www.szaktars.hu/harmattan/view/tainted-love-romlott-vagy/")</f>
        <v>https://www.szaktars.hu/harmattan/view/tainted-love-romlott-vagy/</v>
      </c>
    </row>
    <row r="62" spans="1:6" x14ac:dyDescent="0.25">
      <c r="A62" t="s">
        <v>173</v>
      </c>
      <c r="B62" t="s">
        <v>174</v>
      </c>
      <c r="C62" t="s">
        <v>175</v>
      </c>
      <c r="D62">
        <v>2010</v>
      </c>
      <c r="E62" t="s">
        <v>21</v>
      </c>
      <c r="F62" t="str">
        <f>HYPERLINK("https://www.szaktars.hu/harmattan/view/fodraszno/", "https://www.szaktars.hu/harmattan/view/fodraszno/")</f>
        <v>https://www.szaktars.hu/harmattan/view/fodraszno/</v>
      </c>
    </row>
    <row r="63" spans="1:6" x14ac:dyDescent="0.25">
      <c r="A63" t="s">
        <v>176</v>
      </c>
      <c r="B63" t="s">
        <v>177</v>
      </c>
      <c r="C63" t="s">
        <v>178</v>
      </c>
      <c r="D63">
        <v>2006</v>
      </c>
      <c r="E63" t="s">
        <v>21</v>
      </c>
      <c r="F63" t="str">
        <f>HYPERLINK("https://www.szaktars.hu/harmattan/view/amihez-mindenki-ert-kulturatudomanyi-tanulmanyok/", "https://www.szaktars.hu/harmattan/view/amihez-mindenki-ert-kulturatudomanyi-tanulmanyok/")</f>
        <v>https://www.szaktars.hu/harmattan/view/amihez-mindenki-ert-kulturatudomanyi-tanulmanyok/</v>
      </c>
    </row>
    <row r="64" spans="1:6" x14ac:dyDescent="0.25">
      <c r="A64" t="s">
        <v>179</v>
      </c>
      <c r="B64" t="s">
        <v>180</v>
      </c>
      <c r="C64" t="s">
        <v>181</v>
      </c>
      <c r="D64">
        <v>2006</v>
      </c>
      <c r="E64" t="s">
        <v>21</v>
      </c>
      <c r="F64" t="str">
        <f>HYPERLINK("https://www.szaktars.hu/harmattan/view/a-magyar-helyesiras-szabalyai/", "https://www.szaktars.hu/harmattan/view/a-magyar-helyesiras-szabalyai/")</f>
        <v>https://www.szaktars.hu/harmattan/view/a-magyar-helyesiras-szabalyai/</v>
      </c>
    </row>
    <row r="65" spans="1:6" x14ac:dyDescent="0.25">
      <c r="A65" t="s">
        <v>182</v>
      </c>
      <c r="B65" t="s">
        <v>183</v>
      </c>
      <c r="C65" t="s">
        <v>184</v>
      </c>
      <c r="D65">
        <v>2012</v>
      </c>
      <c r="E65" t="s">
        <v>21</v>
      </c>
      <c r="F65" t="str">
        <f>HYPERLINK("https://www.szaktars.hu/harmattan/view/fuggelek/", "https://www.szaktars.hu/harmattan/view/fuggelek/")</f>
        <v>https://www.szaktars.hu/harmattan/view/fuggelek/</v>
      </c>
    </row>
    <row r="66" spans="1:6" x14ac:dyDescent="0.25">
      <c r="A66" t="s">
        <v>185</v>
      </c>
      <c r="B66" t="s">
        <v>186</v>
      </c>
      <c r="C66" t="s">
        <v>187</v>
      </c>
      <c r="D66">
        <v>2005</v>
      </c>
      <c r="E66" t="s">
        <v>21</v>
      </c>
      <c r="F66" t="str">
        <f>HYPERLINK("https://www.szaktars.hu/harmattan/view/ugyanaz-a-szepseg/", "https://www.szaktars.hu/harmattan/view/ugyanaz-a-szepseg/")</f>
        <v>https://www.szaktars.hu/harmattan/view/ugyanaz-a-szepseg/</v>
      </c>
    </row>
    <row r="67" spans="1:6" x14ac:dyDescent="0.25">
      <c r="A67" t="s">
        <v>188</v>
      </c>
      <c r="B67" t="s">
        <v>189</v>
      </c>
      <c r="C67" t="s">
        <v>190</v>
      </c>
      <c r="D67">
        <v>2016</v>
      </c>
      <c r="E67" t="s">
        <v>21</v>
      </c>
      <c r="F67" t="str">
        <f>HYPERLINK("https://www.szaktars.hu/harmattan/view/reciprok/", "https://www.szaktars.hu/harmattan/view/reciprok/")</f>
        <v>https://www.szaktars.hu/harmattan/view/reciprok/</v>
      </c>
    </row>
    <row r="68" spans="1:6" x14ac:dyDescent="0.25">
      <c r="A68" t="s">
        <v>191</v>
      </c>
      <c r="B68" t="s">
        <v>192</v>
      </c>
      <c r="C68" t="s">
        <v>193</v>
      </c>
      <c r="D68">
        <v>2015</v>
      </c>
      <c r="E68" t="s">
        <v>21</v>
      </c>
      <c r="F68" t="str">
        <f>HYPERLINK("https://www.szaktars.hu/harmattan/view/tigrisfogat/", "https://www.szaktars.hu/harmattan/view/tigrisfogat/")</f>
        <v>https://www.szaktars.hu/harmattan/view/tigrisfogat/</v>
      </c>
    </row>
    <row r="69" spans="1:6" x14ac:dyDescent="0.25">
      <c r="A69" t="s">
        <v>194</v>
      </c>
      <c r="B69" t="s">
        <v>195</v>
      </c>
      <c r="C69" t="s">
        <v>196</v>
      </c>
      <c r="D69">
        <v>2008</v>
      </c>
      <c r="E69" t="s">
        <v>21</v>
      </c>
      <c r="F69" t="str">
        <f>HYPERLINK("https://www.szaktars.hu/harmattan/view/korzovel-rajzolt-viz/", "https://www.szaktars.hu/harmattan/view/korzovel-rajzolt-viz/")</f>
        <v>https://www.szaktars.hu/harmattan/view/korzovel-rajzolt-viz/</v>
      </c>
    </row>
    <row r="70" spans="1:6" x14ac:dyDescent="0.25">
      <c r="A70" t="s">
        <v>197</v>
      </c>
      <c r="B70" t="s">
        <v>198</v>
      </c>
      <c r="C70" t="s">
        <v>199</v>
      </c>
      <c r="D70">
        <v>2005</v>
      </c>
      <c r="E70" t="s">
        <v>21</v>
      </c>
      <c r="F70" t="str">
        <f>HYPERLINK("https://www.szaktars.hu/harmattan/view/fogalom/", "https://www.szaktars.hu/harmattan/view/fogalom/")</f>
        <v>https://www.szaktars.hu/harmattan/view/fogalom/</v>
      </c>
    </row>
    <row r="71" spans="1:6" x14ac:dyDescent="0.25">
      <c r="A71" t="s">
        <v>200</v>
      </c>
      <c r="B71" t="s">
        <v>201</v>
      </c>
      <c r="C71" t="s">
        <v>202</v>
      </c>
      <c r="D71">
        <v>2007</v>
      </c>
      <c r="E71" t="s">
        <v>21</v>
      </c>
      <c r="F71" t="str">
        <f>HYPERLINK("https://www.szaktars.hu/harmattan/view/foldhoz-vert-csoda/", "https://www.szaktars.hu/harmattan/view/foldhoz-vert-csoda/")</f>
        <v>https://www.szaktars.hu/harmattan/view/foldhoz-vert-csoda/</v>
      </c>
    </row>
    <row r="72" spans="1:6" x14ac:dyDescent="0.25">
      <c r="A72" t="s">
        <v>203</v>
      </c>
      <c r="B72" t="s">
        <v>204</v>
      </c>
      <c r="C72" t="s">
        <v>205</v>
      </c>
      <c r="D72">
        <v>2016</v>
      </c>
      <c r="E72" t="s">
        <v>21</v>
      </c>
      <c r="F72" t="str">
        <f>HYPERLINK("https://www.szaktars.hu/harmattan/view/aszfaltangyal-kepalairasok/", "https://www.szaktars.hu/harmattan/view/aszfaltangyal-kepalairasok/")</f>
        <v>https://www.szaktars.hu/harmattan/view/aszfaltangyal-kepalairasok/</v>
      </c>
    </row>
    <row r="73" spans="1:6" x14ac:dyDescent="0.25">
      <c r="A73" t="s">
        <v>206</v>
      </c>
      <c r="B73" t="s">
        <v>204</v>
      </c>
      <c r="C73" t="s">
        <v>207</v>
      </c>
      <c r="D73">
        <v>2004</v>
      </c>
      <c r="E73" t="s">
        <v>21</v>
      </c>
      <c r="F73" t="str">
        <f>HYPERLINK("https://www.szaktars.hu/harmattan/view/dogcedulak/", "https://www.szaktars.hu/harmattan/view/dogcedulak/")</f>
        <v>https://www.szaktars.hu/harmattan/view/dogcedulak/</v>
      </c>
    </row>
    <row r="74" spans="1:6" x14ac:dyDescent="0.25">
      <c r="A74" t="s">
        <v>208</v>
      </c>
      <c r="B74" t="s">
        <v>204</v>
      </c>
      <c r="C74" t="s">
        <v>209</v>
      </c>
      <c r="D74">
        <v>2005</v>
      </c>
      <c r="E74" t="s">
        <v>21</v>
      </c>
      <c r="F74" t="str">
        <f>HYPERLINK("https://www.szaktars.hu/harmattan/view/evangelium-szerintem/", "https://www.szaktars.hu/harmattan/view/evangelium-szerintem/")</f>
        <v>https://www.szaktars.hu/harmattan/view/evangelium-szerintem/</v>
      </c>
    </row>
    <row r="75" spans="1:6" x14ac:dyDescent="0.25">
      <c r="A75" t="s">
        <v>210</v>
      </c>
      <c r="B75" t="s">
        <v>204</v>
      </c>
      <c r="C75" t="s">
        <v>211</v>
      </c>
      <c r="D75">
        <v>2010</v>
      </c>
      <c r="E75" t="s">
        <v>21</v>
      </c>
      <c r="F75" t="str">
        <f>HYPERLINK("https://www.szaktars.hu/harmattan/view/fenyre-sotetedo/", "https://www.szaktars.hu/harmattan/view/fenyre-sotetedo/")</f>
        <v>https://www.szaktars.hu/harmattan/view/fenyre-sotetedo/</v>
      </c>
    </row>
    <row r="76" spans="1:6" x14ac:dyDescent="0.25">
      <c r="A76" t="s">
        <v>212</v>
      </c>
      <c r="B76" t="s">
        <v>204</v>
      </c>
      <c r="C76" t="s">
        <v>213</v>
      </c>
      <c r="D76">
        <v>2012</v>
      </c>
      <c r="E76" t="s">
        <v>21</v>
      </c>
      <c r="F76" t="str">
        <f>HYPERLINK("https://www.szaktars.hu/harmattan/view/haldoc/", "https://www.szaktars.hu/harmattan/view/haldoc/")</f>
        <v>https://www.szaktars.hu/harmattan/view/haldoc/</v>
      </c>
    </row>
    <row r="77" spans="1:6" x14ac:dyDescent="0.25">
      <c r="A77" t="s">
        <v>214</v>
      </c>
      <c r="B77" t="s">
        <v>204</v>
      </c>
      <c r="C77" t="s">
        <v>215</v>
      </c>
      <c r="D77">
        <v>2009</v>
      </c>
      <c r="E77" t="s">
        <v>21</v>
      </c>
      <c r="F77" t="str">
        <f>HYPERLINK("https://www.szaktars.hu/harmattan/view/irottko-emlekkonyv/", "https://www.szaktars.hu/harmattan/view/irottko-emlekkonyv/")</f>
        <v>https://www.szaktars.hu/harmattan/view/irottko-emlekkonyv/</v>
      </c>
    </row>
    <row r="78" spans="1:6" x14ac:dyDescent="0.25">
      <c r="A78" t="s">
        <v>216</v>
      </c>
      <c r="B78" t="s">
        <v>204</v>
      </c>
      <c r="C78" t="s">
        <v>217</v>
      </c>
      <c r="D78">
        <v>2013</v>
      </c>
      <c r="E78" t="s">
        <v>21</v>
      </c>
      <c r="F78" t="str">
        <f>HYPERLINK("https://www.szaktars.hu/harmattan/view/magyar-versek/", "https://www.szaktars.hu/harmattan/view/magyar-versek/")</f>
        <v>https://www.szaktars.hu/harmattan/view/magyar-versek/</v>
      </c>
    </row>
    <row r="79" spans="1:6" x14ac:dyDescent="0.25">
      <c r="A79" t="s">
        <v>218</v>
      </c>
      <c r="B79" t="s">
        <v>219</v>
      </c>
      <c r="C79" t="s">
        <v>220</v>
      </c>
      <c r="D79">
        <v>2014</v>
      </c>
      <c r="E79" t="s">
        <v>21</v>
      </c>
      <c r="F79" t="str">
        <f>HYPERLINK("https://www.szaktars.hu/harmattan/view/a-ko-visszahull-naplo-19892014/", "https://www.szaktars.hu/harmattan/view/a-ko-visszahull-naplo-19892014/")</f>
        <v>https://www.szaktars.hu/harmattan/view/a-ko-visszahull-naplo-19892014/</v>
      </c>
    </row>
    <row r="80" spans="1:6" x14ac:dyDescent="0.25">
      <c r="A80" t="s">
        <v>221</v>
      </c>
      <c r="B80" t="s">
        <v>219</v>
      </c>
      <c r="C80" t="s">
        <v>222</v>
      </c>
      <c r="D80">
        <v>2013</v>
      </c>
      <c r="E80" t="s">
        <v>21</v>
      </c>
      <c r="F80" t="str">
        <f>HYPERLINK("https://www.szaktars.hu/harmattan/view/a-tortenelem-gepangyala-valogatott-esszek/", "https://www.szaktars.hu/harmattan/view/a-tortenelem-gepangyala-valogatott-esszek/")</f>
        <v>https://www.szaktars.hu/harmattan/view/a-tortenelem-gepangyala-valogatott-esszek/</v>
      </c>
    </row>
    <row r="81" spans="1:6" x14ac:dyDescent="0.25">
      <c r="A81" t="s">
        <v>223</v>
      </c>
      <c r="B81" t="s">
        <v>224</v>
      </c>
      <c r="C81" t="s">
        <v>225</v>
      </c>
      <c r="D81">
        <v>2014</v>
      </c>
      <c r="E81" t="s">
        <v>21</v>
      </c>
      <c r="F81" t="str">
        <f>HYPERLINK("https://www.szaktars.hu/harmattan/view/tajkep-toval/", "https://www.szaktars.hu/harmattan/view/tajkep-toval/")</f>
        <v>https://www.szaktars.hu/harmattan/view/tajkep-toval/</v>
      </c>
    </row>
    <row r="82" spans="1:6" x14ac:dyDescent="0.25">
      <c r="A82" t="s">
        <v>226</v>
      </c>
      <c r="B82" t="s">
        <v>227</v>
      </c>
      <c r="C82" t="s">
        <v>228</v>
      </c>
      <c r="D82">
        <v>2016</v>
      </c>
      <c r="E82" t="s">
        <v>21</v>
      </c>
      <c r="F82" t="str">
        <f>HYPERLINK("https://www.szaktars.hu/harmattan/view/mint-kagylok-ha-bezarulnak/", "https://www.szaktars.hu/harmattan/view/mint-kagylok-ha-bezarulnak/")</f>
        <v>https://www.szaktars.hu/harmattan/view/mint-kagylok-ha-bezarulnak/</v>
      </c>
    </row>
    <row r="83" spans="1:6" x14ac:dyDescent="0.25">
      <c r="A83" t="s">
        <v>229</v>
      </c>
      <c r="B83" t="s">
        <v>230</v>
      </c>
      <c r="C83" t="s">
        <v>231</v>
      </c>
      <c r="D83" t="s">
        <v>149</v>
      </c>
      <c r="E83" t="s">
        <v>21</v>
      </c>
      <c r="F83" t="str">
        <f>HYPERLINK("https://www.szaktars.hu/harmattan/view/az-oszinteseg-kozepe/", "https://www.szaktars.hu/harmattan/view/az-oszinteseg-kozepe/")</f>
        <v>https://www.szaktars.hu/harmattan/view/az-oszinteseg-kozepe/</v>
      </c>
    </row>
    <row r="84" spans="1:6" x14ac:dyDescent="0.25">
      <c r="A84" t="s">
        <v>232</v>
      </c>
      <c r="B84" t="s">
        <v>233</v>
      </c>
      <c r="C84" t="s">
        <v>234</v>
      </c>
      <c r="D84">
        <v>2015</v>
      </c>
      <c r="E84" t="s">
        <v>21</v>
      </c>
      <c r="F84" t="str">
        <f>HYPERLINK("https://www.szaktars.hu/harmattan/view/896-utazas-egy-szam-korul/", "https://www.szaktars.hu/harmattan/view/896-utazas-egy-szam-korul/")</f>
        <v>https://www.szaktars.hu/harmattan/view/896-utazas-egy-szam-korul/</v>
      </c>
    </row>
    <row r="85" spans="1:6" x14ac:dyDescent="0.25">
      <c r="A85" t="s">
        <v>235</v>
      </c>
      <c r="B85" t="s">
        <v>236</v>
      </c>
      <c r="C85" t="s">
        <v>237</v>
      </c>
      <c r="D85">
        <v>2014</v>
      </c>
      <c r="E85" t="s">
        <v>21</v>
      </c>
      <c r="F85" t="str">
        <f>HYPERLINK("https://www.szaktars.hu/harmattan/view/alomkorasz-nyolcadik-utja/", "https://www.szaktars.hu/harmattan/view/alomkorasz-nyolcadik-utja/")</f>
        <v>https://www.szaktars.hu/harmattan/view/alomkorasz-nyolcadik-utja/</v>
      </c>
    </row>
    <row r="86" spans="1:6" x14ac:dyDescent="0.25">
      <c r="A86" t="s">
        <v>238</v>
      </c>
      <c r="B86" t="s">
        <v>236</v>
      </c>
      <c r="C86" t="s">
        <v>239</v>
      </c>
      <c r="D86">
        <v>2016</v>
      </c>
      <c r="E86" t="s">
        <v>21</v>
      </c>
      <c r="F86" t="str">
        <f>HYPERLINK("https://www.szaktars.hu/harmattan/view/kelta-keringo/", "https://www.szaktars.hu/harmattan/view/kelta-keringo/")</f>
        <v>https://www.szaktars.hu/harmattan/view/kelta-keringo/</v>
      </c>
    </row>
    <row r="87" spans="1:6" x14ac:dyDescent="0.25">
      <c r="A87" t="s">
        <v>240</v>
      </c>
      <c r="B87" t="s">
        <v>241</v>
      </c>
      <c r="C87" t="s">
        <v>242</v>
      </c>
      <c r="D87">
        <v>2000</v>
      </c>
      <c r="E87" t="s">
        <v>21</v>
      </c>
      <c r="F87" t="str">
        <f>HYPERLINK("https://www.szaktars.hu/harmattan/view/aranygyapju/", "https://www.szaktars.hu/harmattan/view/aranygyapju/")</f>
        <v>https://www.szaktars.hu/harmattan/view/aranygyapju/</v>
      </c>
    </row>
    <row r="88" spans="1:6" x14ac:dyDescent="0.25">
      <c r="A88" t="s">
        <v>243</v>
      </c>
      <c r="B88" t="s">
        <v>244</v>
      </c>
      <c r="C88" t="s">
        <v>245</v>
      </c>
      <c r="D88">
        <v>2016</v>
      </c>
      <c r="E88" t="s">
        <v>21</v>
      </c>
      <c r="F88" t="str">
        <f>HYPERLINK("https://www.szaktars.hu/harmattan/view/ahogy-teltek-az-evek-emlekkonyv/", "https://www.szaktars.hu/harmattan/view/ahogy-teltek-az-evek-emlekkonyv/")</f>
        <v>https://www.szaktars.hu/harmattan/view/ahogy-teltek-az-evek-emlekkonyv/</v>
      </c>
    </row>
    <row r="89" spans="1:6" x14ac:dyDescent="0.25">
      <c r="A89" t="s">
        <v>246</v>
      </c>
      <c r="B89" t="s">
        <v>247</v>
      </c>
      <c r="C89" t="s">
        <v>248</v>
      </c>
      <c r="D89">
        <v>2015</v>
      </c>
      <c r="E89" t="s">
        <v>21</v>
      </c>
      <c r="F89" t="str">
        <f>HYPERLINK("https://www.szaktars.hu/harmattan/view/kinott-sziv-felnottmesekonyv/", "https://www.szaktars.hu/harmattan/view/kinott-sziv-felnottmesekonyv/")</f>
        <v>https://www.szaktars.hu/harmattan/view/kinott-sziv-felnottmesekonyv/</v>
      </c>
    </row>
    <row r="90" spans="1:6" x14ac:dyDescent="0.25">
      <c r="A90" t="s">
        <v>249</v>
      </c>
      <c r="B90" t="s">
        <v>250</v>
      </c>
      <c r="C90" t="s">
        <v>251</v>
      </c>
      <c r="D90">
        <v>2014</v>
      </c>
      <c r="E90" t="s">
        <v>21</v>
      </c>
      <c r="F90" t="str">
        <f>HYPERLINK("https://www.szaktars.hu/harmattan/view/varratok-versprozak-kilenc-oltesben/", "https://www.szaktars.hu/harmattan/view/varratok-versprozak-kilenc-oltesben/")</f>
        <v>https://www.szaktars.hu/harmattan/view/varratok-versprozak-kilenc-oltesben/</v>
      </c>
    </row>
    <row r="91" spans="1:6" x14ac:dyDescent="0.25">
      <c r="A91" t="s">
        <v>252</v>
      </c>
      <c r="B91" t="s">
        <v>253</v>
      </c>
      <c r="C91" t="s">
        <v>254</v>
      </c>
      <c r="D91">
        <v>2012</v>
      </c>
      <c r="E91" t="s">
        <v>21</v>
      </c>
      <c r="F91" t="str">
        <f>HYPERLINK("https://www.szaktars.hu/harmattan/view/edesharmas-avagy-a-coresz-elmelete-es-gyakorlata/", "https://www.szaktars.hu/harmattan/view/edesharmas-avagy-a-coresz-elmelete-es-gyakorlata/")</f>
        <v>https://www.szaktars.hu/harmattan/view/edesharmas-avagy-a-coresz-elmelete-es-gyakorlata/</v>
      </c>
    </row>
    <row r="92" spans="1:6" x14ac:dyDescent="0.25">
      <c r="A92" t="s">
        <v>255</v>
      </c>
      <c r="B92" t="s">
        <v>256</v>
      </c>
      <c r="C92" t="s">
        <v>257</v>
      </c>
      <c r="D92">
        <v>2014</v>
      </c>
      <c r="E92" t="s">
        <v>21</v>
      </c>
      <c r="F92" t="str">
        <f>HYPERLINK("https://www.szaktars.hu/harmattan/view/szalamandra-egy-elet-a-gestapoval-es-az-avo-val-szemben/", "https://www.szaktars.hu/harmattan/view/szalamandra-egy-elet-a-gestapoval-es-az-avo-val-szemben/")</f>
        <v>https://www.szaktars.hu/harmattan/view/szalamandra-egy-elet-a-gestapoval-es-az-avo-val-szemben/</v>
      </c>
    </row>
    <row r="93" spans="1:6" x14ac:dyDescent="0.25">
      <c r="A93" t="s">
        <v>258</v>
      </c>
      <c r="B93" t="s">
        <v>259</v>
      </c>
      <c r="C93" t="s">
        <v>260</v>
      </c>
      <c r="D93">
        <v>2007</v>
      </c>
      <c r="E93" t="s">
        <v>21</v>
      </c>
      <c r="F93" t="str">
        <f>HYPERLINK("https://www.szaktars.hu/harmattan/view/valami-jo-testnyilas/", "https://www.szaktars.hu/harmattan/view/valami-jo-testnyilas/")</f>
        <v>https://www.szaktars.hu/harmattan/view/valami-jo-testnyilas/</v>
      </c>
    </row>
    <row r="94" spans="1:6" x14ac:dyDescent="0.25">
      <c r="A94" t="s">
        <v>261</v>
      </c>
      <c r="B94" t="s">
        <v>262</v>
      </c>
      <c r="C94" t="s">
        <v>263</v>
      </c>
      <c r="D94">
        <v>2015</v>
      </c>
      <c r="E94" t="s">
        <v>21</v>
      </c>
      <c r="F94" t="str">
        <f>HYPERLINK("https://www.szaktars.hu/harmattan/view/versmezo/", "https://www.szaktars.hu/harmattan/view/versmezo/")</f>
        <v>https://www.szaktars.hu/harmattan/view/versmezo/</v>
      </c>
    </row>
    <row r="95" spans="1:6" x14ac:dyDescent="0.25">
      <c r="A95" t="s">
        <v>264</v>
      </c>
      <c r="B95" t="s">
        <v>265</v>
      </c>
      <c r="C95" t="s">
        <v>266</v>
      </c>
      <c r="D95">
        <v>2013</v>
      </c>
      <c r="E95" t="s">
        <v>21</v>
      </c>
      <c r="F95" t="str">
        <f>HYPERLINK("https://www.szaktars.hu/harmattan/view/apam/", "https://www.szaktars.hu/harmattan/view/apam/")</f>
        <v>https://www.szaktars.hu/harmattan/view/apam/</v>
      </c>
    </row>
    <row r="96" spans="1:6" x14ac:dyDescent="0.25">
      <c r="A96" t="s">
        <v>267</v>
      </c>
      <c r="B96" t="s">
        <v>265</v>
      </c>
      <c r="C96" t="s">
        <v>268</v>
      </c>
      <c r="D96">
        <v>2014</v>
      </c>
      <c r="E96" t="s">
        <v>21</v>
      </c>
      <c r="F96" t="str">
        <f>HYPERLINK("https://www.szaktars.hu/harmattan/view/miert-nem-lettem/", "https://www.szaktars.hu/harmattan/view/miert-nem-lettem/")</f>
        <v>https://www.szaktars.hu/harmattan/view/miert-nem-lettem/</v>
      </c>
    </row>
    <row r="97" spans="1:6" x14ac:dyDescent="0.25">
      <c r="A97" t="s">
        <v>269</v>
      </c>
      <c r="B97" t="s">
        <v>265</v>
      </c>
      <c r="C97" t="s">
        <v>270</v>
      </c>
      <c r="D97">
        <v>2014</v>
      </c>
      <c r="E97" t="s">
        <v>21</v>
      </c>
      <c r="F97" t="str">
        <f>HYPERLINK("https://www.szaktars.hu/harmattan/view/tunder-mesek/", "https://www.szaktars.hu/harmattan/view/tunder-mesek/")</f>
        <v>https://www.szaktars.hu/harmattan/view/tunder-mesek/</v>
      </c>
    </row>
    <row r="98" spans="1:6" x14ac:dyDescent="0.25">
      <c r="A98" t="s">
        <v>271</v>
      </c>
      <c r="B98" t="s">
        <v>272</v>
      </c>
      <c r="C98" t="s">
        <v>273</v>
      </c>
      <c r="D98">
        <v>2006</v>
      </c>
      <c r="E98" t="s">
        <v>21</v>
      </c>
      <c r="F98" t="str">
        <f>HYPERLINK("https://www.szaktars.hu/harmattan/view/akkor-sem-biztositasi-esemeny/", "https://www.szaktars.hu/harmattan/view/akkor-sem-biztositasi-esemeny/")</f>
        <v>https://www.szaktars.hu/harmattan/view/akkor-sem-biztositasi-esemeny/</v>
      </c>
    </row>
    <row r="99" spans="1:6" x14ac:dyDescent="0.25">
      <c r="A99" t="s">
        <v>274</v>
      </c>
      <c r="B99" t="s">
        <v>275</v>
      </c>
      <c r="C99" t="s">
        <v>276</v>
      </c>
      <c r="D99">
        <v>2008</v>
      </c>
      <c r="E99" t="s">
        <v>21</v>
      </c>
      <c r="F99" t="str">
        <f>HYPERLINK("https://www.szaktars.hu/harmattan/view/a-siklosi-var-foglya/", "https://www.szaktars.hu/harmattan/view/a-siklosi-var-foglya/")</f>
        <v>https://www.szaktars.hu/harmattan/view/a-siklosi-var-foglya/</v>
      </c>
    </row>
    <row r="100" spans="1:6" x14ac:dyDescent="0.25">
      <c r="A100" t="s">
        <v>277</v>
      </c>
      <c r="B100" t="s">
        <v>278</v>
      </c>
      <c r="C100" t="s">
        <v>279</v>
      </c>
      <c r="D100">
        <v>2016</v>
      </c>
      <c r="E100" t="s">
        <v>21</v>
      </c>
      <c r="F100" t="str">
        <f>HYPERLINK("https://www.szaktars.hu/harmattan/view/lenard-sandor-vilagok-vandora/", "https://www.szaktars.hu/harmattan/view/lenard-sandor-vilagok-vandora/")</f>
        <v>https://www.szaktars.hu/harmattan/view/lenard-sandor-vilagok-vandora/</v>
      </c>
    </row>
    <row r="101" spans="1:6" x14ac:dyDescent="0.25">
      <c r="A101" t="s">
        <v>280</v>
      </c>
      <c r="B101" t="s">
        <v>281</v>
      </c>
      <c r="C101" t="s">
        <v>282</v>
      </c>
      <c r="D101">
        <v>2011</v>
      </c>
      <c r="E101" t="s">
        <v>21</v>
      </c>
      <c r="F101" t="str">
        <f>HYPERLINK("https://www.szaktars.hu/harmattan/view/papirfigurak/", "https://www.szaktars.hu/harmattan/view/papirfigurak/")</f>
        <v>https://www.szaktars.hu/harmattan/view/papirfigurak/</v>
      </c>
    </row>
    <row r="102" spans="1:6" x14ac:dyDescent="0.25">
      <c r="A102" t="s">
        <v>283</v>
      </c>
      <c r="B102" t="s">
        <v>284</v>
      </c>
      <c r="C102" t="s">
        <v>285</v>
      </c>
      <c r="D102">
        <v>2014</v>
      </c>
      <c r="E102" t="s">
        <v>21</v>
      </c>
      <c r="F102" t="str">
        <f>HYPERLINK("https://www.szaktars.hu/harmattan/view/hogy-szivedet-kiuritsd/", "https://www.szaktars.hu/harmattan/view/hogy-szivedet-kiuritsd/")</f>
        <v>https://www.szaktars.hu/harmattan/view/hogy-szivedet-kiuritsd/</v>
      </c>
    </row>
    <row r="103" spans="1:6" x14ac:dyDescent="0.25">
      <c r="A103" t="s">
        <v>286</v>
      </c>
      <c r="B103" t="s">
        <v>287</v>
      </c>
      <c r="C103" t="s">
        <v>288</v>
      </c>
      <c r="D103">
        <v>2005</v>
      </c>
      <c r="E103" t="s">
        <v>21</v>
      </c>
      <c r="F103" t="str">
        <f>HYPERLINK("https://www.szaktars.hu/harmattan/view/az-argentin-no-regeny-harom-felvonasban/", "https://www.szaktars.hu/harmattan/view/az-argentin-no-regeny-harom-felvonasban/")</f>
        <v>https://www.szaktars.hu/harmattan/view/az-argentin-no-regeny-harom-felvonasban/</v>
      </c>
    </row>
    <row r="104" spans="1:6" x14ac:dyDescent="0.25">
      <c r="A104" t="s">
        <v>289</v>
      </c>
      <c r="B104" t="s">
        <v>290</v>
      </c>
      <c r="C104" t="s">
        <v>291</v>
      </c>
      <c r="D104">
        <v>2016</v>
      </c>
      <c r="E104" t="s">
        <v>21</v>
      </c>
      <c r="F104" t="str">
        <f>HYPERLINK("https://www.szaktars.hu/harmattan/view/kevert/", "https://www.szaktars.hu/harmattan/view/kevert/")</f>
        <v>https://www.szaktars.hu/harmattan/view/kevert/</v>
      </c>
    </row>
    <row r="105" spans="1:6" x14ac:dyDescent="0.25">
      <c r="A105" t="s">
        <v>292</v>
      </c>
      <c r="B105" t="s">
        <v>157</v>
      </c>
      <c r="C105" t="s">
        <v>293</v>
      </c>
      <c r="D105">
        <v>2005</v>
      </c>
      <c r="E105" t="s">
        <v>21</v>
      </c>
      <c r="F105" t="str">
        <f>HYPERLINK("https://www.szaktars.hu/harmattan/view/a-tiszta-esz/", "https://www.szaktars.hu/harmattan/view/a-tiszta-esz/")</f>
        <v>https://www.szaktars.hu/harmattan/view/a-tiszta-esz/</v>
      </c>
    </row>
    <row r="106" spans="1:6" x14ac:dyDescent="0.25">
      <c r="A106" t="s">
        <v>294</v>
      </c>
      <c r="B106" t="s">
        <v>204</v>
      </c>
      <c r="C106" t="s">
        <v>295</v>
      </c>
      <c r="D106">
        <v>2007</v>
      </c>
      <c r="E106" t="s">
        <v>21</v>
      </c>
      <c r="F106" t="str">
        <f>HYPERLINK("https://www.szaktars.hu/harmattan/view/istentelen-szinjatek/", "https://www.szaktars.hu/harmattan/view/istentelen-szinjatek/")</f>
        <v>https://www.szaktars.hu/harmattan/view/istentelen-szinjatek/</v>
      </c>
    </row>
    <row r="107" spans="1:6" x14ac:dyDescent="0.25">
      <c r="A107" t="s">
        <v>296</v>
      </c>
      <c r="B107" t="s">
        <v>297</v>
      </c>
      <c r="C107" t="s">
        <v>298</v>
      </c>
      <c r="D107" t="s">
        <v>149</v>
      </c>
      <c r="E107" t="s">
        <v>21</v>
      </c>
      <c r="F107" t="str">
        <f>HYPERLINK("https://www.szaktars.hu/harmattan/view/dalok-a-magasfoldszintrol/", "https://www.szaktars.hu/harmattan/view/dalok-a-magasfoldszintrol/")</f>
        <v>https://www.szaktars.hu/harmattan/view/dalok-a-magasfoldszintrol/</v>
      </c>
    </row>
    <row r="108" spans="1:6" x14ac:dyDescent="0.25">
      <c r="A108" t="s">
        <v>299</v>
      </c>
      <c r="B108" t="s">
        <v>300</v>
      </c>
      <c r="C108" t="s">
        <v>301</v>
      </c>
      <c r="D108">
        <v>2010</v>
      </c>
      <c r="E108" t="s">
        <v>302</v>
      </c>
      <c r="F108" t="str">
        <f>HYPERLINK("https://www.szaktars.hu/harmattan/view/hazam-abhazia/", "https://www.szaktars.hu/harmattan/view/hazam-abhazia/")</f>
        <v>https://www.szaktars.hu/harmattan/view/hazam-abhazia/</v>
      </c>
    </row>
    <row r="109" spans="1:6" x14ac:dyDescent="0.25">
      <c r="A109" t="s">
        <v>303</v>
      </c>
      <c r="B109" t="s">
        <v>304</v>
      </c>
      <c r="C109" t="s">
        <v>305</v>
      </c>
      <c r="D109">
        <v>2003</v>
      </c>
      <c r="E109" t="s">
        <v>302</v>
      </c>
      <c r="F109" t="str">
        <f>HYPERLINK("https://www.szaktars.hu/harmattan/view/azsiatol-azsiaig-tibet-nepal-india/", "https://www.szaktars.hu/harmattan/view/azsiatol-azsiaig-tibet-nepal-india/")</f>
        <v>https://www.szaktars.hu/harmattan/view/azsiatol-azsiaig-tibet-nepal-india/</v>
      </c>
    </row>
    <row r="110" spans="1:6" x14ac:dyDescent="0.25">
      <c r="A110" t="s">
        <v>306</v>
      </c>
      <c r="B110" t="s">
        <v>307</v>
      </c>
      <c r="C110" t="s">
        <v>308</v>
      </c>
      <c r="D110">
        <v>2014</v>
      </c>
      <c r="E110" t="s">
        <v>302</v>
      </c>
      <c r="F110" t="str">
        <f>HYPERLINK("https://www.szaktars.hu/harmattan/view/eletutinterju/", "https://www.szaktars.hu/harmattan/view/eletutinterju/")</f>
        <v>https://www.szaktars.hu/harmattan/view/eletutinterju/</v>
      </c>
    </row>
    <row r="111" spans="1:6" x14ac:dyDescent="0.25">
      <c r="A111" t="s">
        <v>309</v>
      </c>
      <c r="B111" t="s">
        <v>310</v>
      </c>
      <c r="C111" t="s">
        <v>311</v>
      </c>
      <c r="D111">
        <v>2012</v>
      </c>
      <c r="E111" t="s">
        <v>302</v>
      </c>
      <c r="F111" t="str">
        <f>HYPERLINK("https://www.szaktars.hu/harmattan/view/az-orangutan-szoritasaban/", "https://www.szaktars.hu/harmattan/view/az-orangutan-szoritasaban/")</f>
        <v>https://www.szaktars.hu/harmattan/view/az-orangutan-szoritasaban/</v>
      </c>
    </row>
    <row r="112" spans="1:6" x14ac:dyDescent="0.25">
      <c r="A112" t="s">
        <v>312</v>
      </c>
      <c r="B112" t="s">
        <v>313</v>
      </c>
      <c r="C112" t="s">
        <v>314</v>
      </c>
      <c r="D112">
        <v>2007</v>
      </c>
      <c r="E112" t="s">
        <v>302</v>
      </c>
      <c r="F112" t="str">
        <f>HYPERLINK("https://www.szaktars.hu/harmattan/view/generaciok-szakacskonyve-a-monarchiatol-a-21-szazadig/", "https://www.szaktars.hu/harmattan/view/generaciok-szakacskonyve-a-monarchiatol-a-21-szazadig/")</f>
        <v>https://www.szaktars.hu/harmattan/view/generaciok-szakacskonyve-a-monarchiatol-a-21-szazadig/</v>
      </c>
    </row>
    <row r="113" spans="1:6" x14ac:dyDescent="0.25">
      <c r="A113" t="s">
        <v>315</v>
      </c>
      <c r="B113" t="s">
        <v>316</v>
      </c>
      <c r="C113" t="s">
        <v>317</v>
      </c>
      <c r="D113">
        <v>2005</v>
      </c>
      <c r="E113" t="s">
        <v>302</v>
      </c>
      <c r="F113" t="str">
        <f>HYPERLINK("https://www.szaktars.hu/harmattan/view/jogit-kerestem-indiaban/", "https://www.szaktars.hu/harmattan/view/jogit-kerestem-indiaban/")</f>
        <v>https://www.szaktars.hu/harmattan/view/jogit-kerestem-indiaban/</v>
      </c>
    </row>
    <row r="114" spans="1:6" x14ac:dyDescent="0.25">
      <c r="A114" t="s">
        <v>318</v>
      </c>
      <c r="B114" t="s">
        <v>319</v>
      </c>
      <c r="C114" t="s">
        <v>320</v>
      </c>
      <c r="D114">
        <v>2013</v>
      </c>
      <c r="E114" t="s">
        <v>302</v>
      </c>
      <c r="F114" t="str">
        <f>HYPERLINK("https://www.szaktars.hu/harmattan/view/a-hely-13-riport/", "https://www.szaktars.hu/harmattan/view/a-hely-13-riport/")</f>
        <v>https://www.szaktars.hu/harmattan/view/a-hely-13-riport/</v>
      </c>
    </row>
    <row r="115" spans="1:6" x14ac:dyDescent="0.25">
      <c r="A115" t="s">
        <v>321</v>
      </c>
      <c r="B115" t="s">
        <v>322</v>
      </c>
      <c r="C115" t="s">
        <v>323</v>
      </c>
      <c r="D115" t="s">
        <v>149</v>
      </c>
      <c r="E115" t="s">
        <v>302</v>
      </c>
      <c r="F115" t="str">
        <f>HYPERLINK("https://www.szaktars.hu/harmattan/view/az-illusztralt-tarokk-konyve/", "https://www.szaktars.hu/harmattan/view/az-illusztralt-tarokk-konyve/")</f>
        <v>https://www.szaktars.hu/harmattan/view/az-illusztralt-tarokk-konyve/</v>
      </c>
    </row>
    <row r="116" spans="1:6" x14ac:dyDescent="0.25">
      <c r="A116" t="s">
        <v>324</v>
      </c>
      <c r="B116" t="s">
        <v>325</v>
      </c>
      <c r="C116" t="s">
        <v>326</v>
      </c>
      <c r="D116">
        <v>2015</v>
      </c>
      <c r="E116" t="s">
        <v>302</v>
      </c>
      <c r="F116" t="str">
        <f>HYPERLINK("https://www.szaktars.hu/harmattan/view/egy-szal-sarga-rozsa-memoar/", "https://www.szaktars.hu/harmattan/view/egy-szal-sarga-rozsa-memoar/")</f>
        <v>https://www.szaktars.hu/harmattan/view/egy-szal-sarga-rozsa-memoar/</v>
      </c>
    </row>
    <row r="117" spans="1:6" x14ac:dyDescent="0.25">
      <c r="A117" t="s">
        <v>327</v>
      </c>
      <c r="B117" t="s">
        <v>328</v>
      </c>
      <c r="C117" t="s">
        <v>329</v>
      </c>
      <c r="D117">
        <v>2009</v>
      </c>
      <c r="E117" t="s">
        <v>302</v>
      </c>
      <c r="F117" t="str">
        <f>HYPERLINK("https://www.szaktars.hu/harmattan/view/1956-a-munkastanacsok-forradalma-visszaemlekezeseim/", "https://www.szaktars.hu/harmattan/view/1956-a-munkastanacsok-forradalma-visszaemlekezeseim/")</f>
        <v>https://www.szaktars.hu/harmattan/view/1956-a-munkastanacsok-forradalma-visszaemlekezeseim/</v>
      </c>
    </row>
    <row r="118" spans="1:6" x14ac:dyDescent="0.25">
      <c r="A118" t="s">
        <v>330</v>
      </c>
      <c r="B118" t="s">
        <v>331</v>
      </c>
      <c r="C118" t="s">
        <v>332</v>
      </c>
      <c r="D118">
        <v>2008</v>
      </c>
      <c r="E118" t="s">
        <v>302</v>
      </c>
      <c r="F118" t="str">
        <f>HYPERLINK("https://www.szaktars.hu/harmattan/view/barangolas-az-osi-amerika-foldjen-teotihuacantol-tiahuanacoig/", "https://www.szaktars.hu/harmattan/view/barangolas-az-osi-amerika-foldjen-teotihuacantol-tiahuanacoig/")</f>
        <v>https://www.szaktars.hu/harmattan/view/barangolas-az-osi-amerika-foldjen-teotihuacantol-tiahuanacoig/</v>
      </c>
    </row>
    <row r="119" spans="1:6" x14ac:dyDescent="0.25">
      <c r="A119" t="s">
        <v>333</v>
      </c>
      <c r="B119" t="s">
        <v>219</v>
      </c>
      <c r="C119" t="s">
        <v>334</v>
      </c>
      <c r="D119">
        <v>2015</v>
      </c>
      <c r="E119" t="s">
        <v>302</v>
      </c>
      <c r="F119" t="str">
        <f>HYPERLINK("https://www.szaktars.hu/harmattan/view/a-tiszaeszlari-per-es-2015/", "https://www.szaktars.hu/harmattan/view/a-tiszaeszlari-per-es-2015/")</f>
        <v>https://www.szaktars.hu/harmattan/view/a-tiszaeszlari-per-es-2015/</v>
      </c>
    </row>
    <row r="120" spans="1:6" x14ac:dyDescent="0.25">
      <c r="A120" t="s">
        <v>335</v>
      </c>
      <c r="B120" t="s">
        <v>336</v>
      </c>
      <c r="C120" t="s">
        <v>337</v>
      </c>
      <c r="D120">
        <v>2006</v>
      </c>
      <c r="E120" t="s">
        <v>302</v>
      </c>
      <c r="F120" t="str">
        <f>HYPERLINK("https://www.szaktars.hu/harmattan/view/az-arral-szemben-beszelgetesek-krausz-tamassal/", "https://www.szaktars.hu/harmattan/view/az-arral-szemben-beszelgetesek-krausz-tamassal/")</f>
        <v>https://www.szaktars.hu/harmattan/view/az-arral-szemben-beszelgetesek-krausz-tamassal/</v>
      </c>
    </row>
    <row r="121" spans="1:6" x14ac:dyDescent="0.25">
      <c r="A121" t="s">
        <v>338</v>
      </c>
      <c r="B121" t="s">
        <v>339</v>
      </c>
      <c r="C121" t="s">
        <v>340</v>
      </c>
      <c r="D121">
        <v>2010</v>
      </c>
      <c r="E121" t="s">
        <v>302</v>
      </c>
      <c r="F121" t="str">
        <f>HYPERLINK("https://www.szaktars.hu/harmattan/view/drotok-es-fatornyok-kozt-szent-gyorgyi-imre-naploja-hadifogsagabol/", "https://www.szaktars.hu/harmattan/view/drotok-es-fatornyok-kozt-szent-gyorgyi-imre-naploja-hadifogsagabol/")</f>
        <v>https://www.szaktars.hu/harmattan/view/drotok-es-fatornyok-kozt-szent-gyorgyi-imre-naploja-hadifogsagabol/</v>
      </c>
    </row>
    <row r="122" spans="1:6" x14ac:dyDescent="0.25">
      <c r="A122" t="s">
        <v>341</v>
      </c>
      <c r="B122" t="s">
        <v>342</v>
      </c>
      <c r="C122" t="s">
        <v>343</v>
      </c>
      <c r="D122">
        <v>2009</v>
      </c>
      <c r="E122" t="s">
        <v>302</v>
      </c>
      <c r="F122" t="str">
        <f>HYPERLINK("https://www.szaktars.hu/harmattan/view/nehez-eletek-konnyu-etelek-a-tanyasi-konyhatol-a-modern-cukraszatig/", "https://www.szaktars.hu/harmattan/view/nehez-eletek-konnyu-etelek-a-tanyasi-konyhatol-a-modern-cukraszatig/")</f>
        <v>https://www.szaktars.hu/harmattan/view/nehez-eletek-konnyu-etelek-a-tanyasi-konyhatol-a-modern-cukraszatig/</v>
      </c>
    </row>
    <row r="123" spans="1:6" x14ac:dyDescent="0.25">
      <c r="A123" t="s">
        <v>344</v>
      </c>
      <c r="B123" t="s">
        <v>345</v>
      </c>
      <c r="C123" t="s">
        <v>346</v>
      </c>
      <c r="D123">
        <v>2012</v>
      </c>
      <c r="E123" t="s">
        <v>302</v>
      </c>
      <c r="F123" t="str">
        <f>HYPERLINK("https://www.szaktars.hu/harmattan/view/szent-varosok-szent-korzetek-tibettol-etiopiaig/", "https://www.szaktars.hu/harmattan/view/szent-varosok-szent-korzetek-tibettol-etiopiaig/")</f>
        <v>https://www.szaktars.hu/harmattan/view/szent-varosok-szent-korzetek-tibettol-etiopiaig/</v>
      </c>
    </row>
    <row r="124" spans="1:6" x14ac:dyDescent="0.25">
      <c r="A124" t="s">
        <v>347</v>
      </c>
      <c r="B124" t="s">
        <v>348</v>
      </c>
      <c r="C124" t="s">
        <v>349</v>
      </c>
      <c r="D124" t="s">
        <v>149</v>
      </c>
      <c r="E124" t="s">
        <v>302</v>
      </c>
      <c r="F124" t="str">
        <f>HYPERLINK("https://www.szaktars.hu/harmattan/view/a-magyar-oriasnyul/", "https://www.szaktars.hu/harmattan/view/a-magyar-oriasnyul/")</f>
        <v>https://www.szaktars.hu/harmattan/view/a-magyar-oriasnyul/</v>
      </c>
    </row>
    <row r="125" spans="1:6" x14ac:dyDescent="0.25">
      <c r="A125" t="s">
        <v>350</v>
      </c>
      <c r="B125" t="s">
        <v>351</v>
      </c>
      <c r="C125" t="s">
        <v>352</v>
      </c>
      <c r="D125">
        <v>2006</v>
      </c>
      <c r="E125" t="s">
        <v>353</v>
      </c>
      <c r="F125" t="str">
        <f>HYPERLINK("https://www.szaktars.hu/harmattan/view/galad-kandur-es-fecske-kisasszony-egy-szerelem-tortenete/", "https://www.szaktars.hu/harmattan/view/galad-kandur-es-fecske-kisasszony-egy-szerelem-tortenete/")</f>
        <v>https://www.szaktars.hu/harmattan/view/galad-kandur-es-fecske-kisasszony-egy-szerelem-tortenete/</v>
      </c>
    </row>
    <row r="126" spans="1:6" x14ac:dyDescent="0.25">
      <c r="A126" t="s">
        <v>354</v>
      </c>
      <c r="B126" t="s">
        <v>355</v>
      </c>
      <c r="C126" t="s">
        <v>356</v>
      </c>
      <c r="D126">
        <v>2004</v>
      </c>
      <c r="E126" t="s">
        <v>353</v>
      </c>
      <c r="F126" t="str">
        <f>HYPERLINK("https://www.szaktars.hu/harmattan/view/a-multkereskedo/", "https://www.szaktars.hu/harmattan/view/a-multkereskedo/")</f>
        <v>https://www.szaktars.hu/harmattan/view/a-multkereskedo/</v>
      </c>
    </row>
    <row r="127" spans="1:6" x14ac:dyDescent="0.25">
      <c r="A127" t="s">
        <v>357</v>
      </c>
      <c r="B127" t="s">
        <v>358</v>
      </c>
      <c r="C127" t="s">
        <v>359</v>
      </c>
      <c r="D127">
        <v>2006</v>
      </c>
      <c r="E127" t="s">
        <v>353</v>
      </c>
      <c r="F127" t="str">
        <f>HYPERLINK("https://www.szaktars.hu/harmattan/view/en-es-a-batyam/", "https://www.szaktars.hu/harmattan/view/en-es-a-batyam/")</f>
        <v>https://www.szaktars.hu/harmattan/view/en-es-a-batyam/</v>
      </c>
    </row>
    <row r="128" spans="1:6" x14ac:dyDescent="0.25">
      <c r="A128" t="s">
        <v>360</v>
      </c>
      <c r="B128" t="s">
        <v>361</v>
      </c>
      <c r="C128" t="s">
        <v>362</v>
      </c>
      <c r="D128">
        <v>2009</v>
      </c>
      <c r="E128" t="s">
        <v>353</v>
      </c>
      <c r="F128" t="str">
        <f>HYPERLINK("https://www.szaktars.hu/harmattan/view/rut-halal/", "https://www.szaktars.hu/harmattan/view/rut-halal/")</f>
        <v>https://www.szaktars.hu/harmattan/view/rut-halal/</v>
      </c>
    </row>
    <row r="129" spans="1:6" x14ac:dyDescent="0.25">
      <c r="A129" t="s">
        <v>363</v>
      </c>
      <c r="B129" t="s">
        <v>364</v>
      </c>
      <c r="C129" t="s">
        <v>365</v>
      </c>
      <c r="D129">
        <v>2015</v>
      </c>
      <c r="E129" t="s">
        <v>353</v>
      </c>
      <c r="F129" t="str">
        <f>HYPERLINK("https://www.szaktars.hu/harmattan/view/oidipusz-uton-van/", "https://www.szaktars.hu/harmattan/view/oidipusz-uton-van/")</f>
        <v>https://www.szaktars.hu/harmattan/view/oidipusz-uton-van/</v>
      </c>
    </row>
    <row r="130" spans="1:6" x14ac:dyDescent="0.25">
      <c r="A130" t="s">
        <v>366</v>
      </c>
      <c r="B130" t="s">
        <v>367</v>
      </c>
      <c r="C130" t="s">
        <v>368</v>
      </c>
      <c r="D130">
        <v>2011</v>
      </c>
      <c r="E130" t="s">
        <v>353</v>
      </c>
      <c r="F130" t="str">
        <f>HYPERLINK("https://www.szaktars.hu/harmattan/view/mentafagylalt/", "https://www.szaktars.hu/harmattan/view/mentafagylalt/")</f>
        <v>https://www.szaktars.hu/harmattan/view/mentafagylalt/</v>
      </c>
    </row>
    <row r="131" spans="1:6" x14ac:dyDescent="0.25">
      <c r="A131" t="s">
        <v>369</v>
      </c>
      <c r="B131" t="s">
        <v>370</v>
      </c>
      <c r="C131" t="s">
        <v>371</v>
      </c>
      <c r="D131">
        <v>2013</v>
      </c>
      <c r="E131" t="s">
        <v>353</v>
      </c>
      <c r="F131" t="str">
        <f>HYPERLINK("https://www.szaktars.hu/harmattan/view/hat-mai-katalan-drama-sergi-belbel-es-jordi-galceran-darabjai-katalan-konyvtar-11/", "https://www.szaktars.hu/harmattan/view/hat-mai-katalan-drama-sergi-belbel-es-jordi-galceran-darabjai-katalan-konyvtar-11/")</f>
        <v>https://www.szaktars.hu/harmattan/view/hat-mai-katalan-drama-sergi-belbel-es-jordi-galceran-darabjai-katalan-konyvtar-11/</v>
      </c>
    </row>
    <row r="132" spans="1:6" x14ac:dyDescent="0.25">
      <c r="A132" t="s">
        <v>372</v>
      </c>
      <c r="B132" t="s">
        <v>373</v>
      </c>
      <c r="C132" t="s">
        <v>374</v>
      </c>
      <c r="D132">
        <v>2016</v>
      </c>
      <c r="E132" t="s">
        <v>353</v>
      </c>
      <c r="F132" t="str">
        <f>HYPERLINK("https://www.szaktars.hu/harmattan/view/cafe-hyena-elkiseresi-tervezet/", "https://www.szaktars.hu/harmattan/view/cafe-hyena-elkiseresi-tervezet/")</f>
        <v>https://www.szaktars.hu/harmattan/view/cafe-hyena-elkiseresi-tervezet/</v>
      </c>
    </row>
    <row r="133" spans="1:6" x14ac:dyDescent="0.25">
      <c r="A133" t="s">
        <v>375</v>
      </c>
      <c r="B133" t="s">
        <v>376</v>
      </c>
      <c r="C133" t="s">
        <v>377</v>
      </c>
      <c r="D133">
        <v>2013</v>
      </c>
      <c r="E133" t="s">
        <v>353</v>
      </c>
      <c r="F133" t="str">
        <f>HYPERLINK("https://www.szaktars.hu/harmattan/view/az-utolso-cseppig-alpesi-trilogia/", "https://www.szaktars.hu/harmattan/view/az-utolso-cseppig-alpesi-trilogia/")</f>
        <v>https://www.szaktars.hu/harmattan/view/az-utolso-cseppig-alpesi-trilogia/</v>
      </c>
    </row>
    <row r="134" spans="1:6" x14ac:dyDescent="0.25">
      <c r="A134" t="s">
        <v>378</v>
      </c>
      <c r="B134" t="s">
        <v>379</v>
      </c>
      <c r="C134" t="s">
        <v>380</v>
      </c>
      <c r="D134">
        <v>2006</v>
      </c>
      <c r="E134" t="s">
        <v>353</v>
      </c>
      <c r="F134" t="str">
        <f>HYPERLINK("https://www.szaktars.hu/harmattan/view/kutyatango/", "https://www.szaktars.hu/harmattan/view/kutyatango/")</f>
        <v>https://www.szaktars.hu/harmattan/view/kutyatango/</v>
      </c>
    </row>
    <row r="135" spans="1:6" x14ac:dyDescent="0.25">
      <c r="A135" t="s">
        <v>381</v>
      </c>
      <c r="B135" t="s">
        <v>382</v>
      </c>
      <c r="C135" t="s">
        <v>383</v>
      </c>
      <c r="D135">
        <v>2015</v>
      </c>
      <c r="E135" t="s">
        <v>353</v>
      </c>
      <c r="F135" t="str">
        <f>HYPERLINK("https://www.szaktars.hu/harmattan/view/kaprazat-a-test-valahol-europaban-22/", "https://www.szaktars.hu/harmattan/view/kaprazat-a-test-valahol-europaban-22/")</f>
        <v>https://www.szaktars.hu/harmattan/view/kaprazat-a-test-valahol-europaban-22/</v>
      </c>
    </row>
    <row r="136" spans="1:6" x14ac:dyDescent="0.25">
      <c r="A136" t="s">
        <v>384</v>
      </c>
      <c r="B136" t="s">
        <v>385</v>
      </c>
      <c r="C136" t="s">
        <v>386</v>
      </c>
      <c r="D136">
        <v>2015</v>
      </c>
      <c r="E136" t="s">
        <v>353</v>
      </c>
      <c r="F136" t="str">
        <f>HYPERLINK("https://www.szaktars.hu/harmattan/view/delfordulo/", "https://www.szaktars.hu/harmattan/view/delfordulo/")</f>
        <v>https://www.szaktars.hu/harmattan/view/delfordulo/</v>
      </c>
    </row>
    <row r="137" spans="1:6" x14ac:dyDescent="0.25">
      <c r="A137" t="s">
        <v>387</v>
      </c>
      <c r="B137" t="s">
        <v>388</v>
      </c>
      <c r="C137" t="s">
        <v>389</v>
      </c>
      <c r="D137">
        <v>2011</v>
      </c>
      <c r="E137" t="s">
        <v>353</v>
      </c>
      <c r="F137" t="str">
        <f>HYPERLINK("https://www.szaktars.hu/harmattan/view/belgium-banata/", "https://www.szaktars.hu/harmattan/view/belgium-banata/")</f>
        <v>https://www.szaktars.hu/harmattan/view/belgium-banata/</v>
      </c>
    </row>
    <row r="138" spans="1:6" x14ac:dyDescent="0.25">
      <c r="A138" t="s">
        <v>390</v>
      </c>
      <c r="B138" t="s">
        <v>391</v>
      </c>
      <c r="C138" t="s">
        <v>392</v>
      </c>
      <c r="D138">
        <v>2012</v>
      </c>
      <c r="E138" t="s">
        <v>353</v>
      </c>
      <c r="F138" t="str">
        <f>HYPERLINK("https://www.szaktars.hu/harmattan/view/hazatlanok/", "https://www.szaktars.hu/harmattan/view/hazatlanok/")</f>
        <v>https://www.szaktars.hu/harmattan/view/hazatlanok/</v>
      </c>
    </row>
    <row r="139" spans="1:6" x14ac:dyDescent="0.25">
      <c r="A139" t="s">
        <v>393</v>
      </c>
      <c r="B139" t="s">
        <v>394</v>
      </c>
      <c r="C139" t="s">
        <v>395</v>
      </c>
      <c r="D139">
        <v>2009</v>
      </c>
      <c r="E139" t="s">
        <v>353</v>
      </c>
      <c r="F139" t="str">
        <f>HYPERLINK("https://www.szaktars.hu/harmattan/view/62-kirakos-jatek/", "https://www.szaktars.hu/harmattan/view/62-kirakos-jatek/")</f>
        <v>https://www.szaktars.hu/harmattan/view/62-kirakos-jatek/</v>
      </c>
    </row>
    <row r="140" spans="1:6" x14ac:dyDescent="0.25">
      <c r="A140" t="s">
        <v>396</v>
      </c>
      <c r="B140" t="s">
        <v>394</v>
      </c>
      <c r="C140" t="s">
        <v>397</v>
      </c>
      <c r="D140">
        <v>2005</v>
      </c>
      <c r="E140" t="s">
        <v>353</v>
      </c>
      <c r="F140" t="str">
        <f>HYPERLINK("https://www.szaktars.hu/harmattan/view/atjarok/", "https://www.szaktars.hu/harmattan/view/atjarok/")</f>
        <v>https://www.szaktars.hu/harmattan/view/atjarok/</v>
      </c>
    </row>
    <row r="141" spans="1:6" x14ac:dyDescent="0.25">
      <c r="A141" t="s">
        <v>398</v>
      </c>
      <c r="B141" t="s">
        <v>394</v>
      </c>
      <c r="C141" t="s">
        <v>399</v>
      </c>
      <c r="D141">
        <v>2006</v>
      </c>
      <c r="E141" t="s">
        <v>353</v>
      </c>
      <c r="F141" t="str">
        <f>HYPERLINK("https://www.szaktars.hu/harmattan/view/itt-es-most/", "https://www.szaktars.hu/harmattan/view/itt-es-most/")</f>
        <v>https://www.szaktars.hu/harmattan/view/itt-es-most/</v>
      </c>
    </row>
    <row r="142" spans="1:6" x14ac:dyDescent="0.25">
      <c r="A142" t="s">
        <v>400</v>
      </c>
      <c r="B142" t="s">
        <v>394</v>
      </c>
      <c r="C142" t="s">
        <v>401</v>
      </c>
      <c r="D142">
        <v>2005</v>
      </c>
      <c r="E142" t="s">
        <v>353</v>
      </c>
      <c r="F142" t="str">
        <f>HYPERLINK("https://www.szaktars.hu/harmattan/view/jatekok/", "https://www.szaktars.hu/harmattan/view/jatekok/")</f>
        <v>https://www.szaktars.hu/harmattan/view/jatekok/</v>
      </c>
    </row>
    <row r="143" spans="1:6" x14ac:dyDescent="0.25">
      <c r="A143" t="s">
        <v>402</v>
      </c>
      <c r="B143" t="s">
        <v>403</v>
      </c>
      <c r="C143" t="s">
        <v>404</v>
      </c>
      <c r="D143">
        <v>2006</v>
      </c>
      <c r="E143" t="s">
        <v>353</v>
      </c>
      <c r="F143" t="str">
        <f>HYPERLINK("https://www.szaktars.hu/harmattan/view/kronopiok-es-famak-tortenete-paul-klee-rajzaival/", "https://www.szaktars.hu/harmattan/view/kronopiok-es-famak-tortenete-paul-klee-rajzaival/")</f>
        <v>https://www.szaktars.hu/harmattan/view/kronopiok-es-famak-tortenete-paul-klee-rajzaival/</v>
      </c>
    </row>
    <row r="144" spans="1:6" x14ac:dyDescent="0.25">
      <c r="A144" t="s">
        <v>405</v>
      </c>
      <c r="B144" t="s">
        <v>394</v>
      </c>
      <c r="C144" t="s">
        <v>406</v>
      </c>
      <c r="D144">
        <v>2005</v>
      </c>
      <c r="E144" t="s">
        <v>353</v>
      </c>
      <c r="F144" t="str">
        <f>HYPERLINK("https://www.szaktars.hu/harmattan/view/ritusok/", "https://www.szaktars.hu/harmattan/view/ritusok/")</f>
        <v>https://www.szaktars.hu/harmattan/view/ritusok/</v>
      </c>
    </row>
    <row r="145" spans="1:6" x14ac:dyDescent="0.25">
      <c r="A145" t="s">
        <v>407</v>
      </c>
      <c r="B145" t="s">
        <v>394</v>
      </c>
      <c r="C145" t="s">
        <v>408</v>
      </c>
      <c r="D145">
        <v>2016</v>
      </c>
      <c r="E145" t="s">
        <v>353</v>
      </c>
      <c r="F145" t="str">
        <f>HYPERLINK("https://www.szaktars.hu/harmattan/view/sehol-sem-teljesen-jelen-valogatott-esszek/", "https://www.szaktars.hu/harmattan/view/sehol-sem-teljesen-jelen-valogatott-esszek/")</f>
        <v>https://www.szaktars.hu/harmattan/view/sehol-sem-teljesen-jelen-valogatott-esszek/</v>
      </c>
    </row>
    <row r="146" spans="1:6" x14ac:dyDescent="0.25">
      <c r="A146" t="s">
        <v>409</v>
      </c>
      <c r="B146" t="s">
        <v>410</v>
      </c>
      <c r="C146" t="s">
        <v>411</v>
      </c>
      <c r="D146">
        <v>2010</v>
      </c>
      <c r="E146" t="s">
        <v>353</v>
      </c>
      <c r="F146" t="str">
        <f>HYPERLINK("https://www.szaktars.hu/harmattan/view/karol-d-horvath/", "https://www.szaktars.hu/harmattan/view/karol-d-horvath/")</f>
        <v>https://www.szaktars.hu/harmattan/view/karol-d-horvath/</v>
      </c>
    </row>
    <row r="147" spans="1:6" x14ac:dyDescent="0.25">
      <c r="A147" t="s">
        <v>412</v>
      </c>
      <c r="B147" t="s">
        <v>413</v>
      </c>
      <c r="C147" t="s">
        <v>414</v>
      </c>
      <c r="D147">
        <v>2013</v>
      </c>
      <c r="E147" t="s">
        <v>353</v>
      </c>
      <c r="F147" t="str">
        <f>HYPERLINK("https://www.szaktars.hu/harmattan/view/jegyzetfuzet-versek/", "https://www.szaktars.hu/harmattan/view/jegyzetfuzet-versek/")</f>
        <v>https://www.szaktars.hu/harmattan/view/jegyzetfuzet-versek/</v>
      </c>
    </row>
    <row r="148" spans="1:6" x14ac:dyDescent="0.25">
      <c r="A148" t="s">
        <v>415</v>
      </c>
      <c r="B148" t="s">
        <v>416</v>
      </c>
      <c r="C148" t="s">
        <v>417</v>
      </c>
      <c r="D148">
        <v>2007</v>
      </c>
      <c r="E148" t="s">
        <v>353</v>
      </c>
      <c r="F148" t="str">
        <f>HYPERLINK("https://www.szaktars.hu/harmattan/view/samuel-tyne-masodik-elete/", "https://www.szaktars.hu/harmattan/view/samuel-tyne-masodik-elete/")</f>
        <v>https://www.szaktars.hu/harmattan/view/samuel-tyne-masodik-elete/</v>
      </c>
    </row>
    <row r="149" spans="1:6" x14ac:dyDescent="0.25">
      <c r="A149" t="s">
        <v>418</v>
      </c>
      <c r="B149" t="s">
        <v>419</v>
      </c>
      <c r="C149" t="s">
        <v>420</v>
      </c>
      <c r="D149">
        <v>2012</v>
      </c>
      <c r="E149" t="s">
        <v>353</v>
      </c>
      <c r="F149" t="str">
        <f>HYPERLINK("https://www.szaktars.hu/harmattan/view/otthon/", "https://www.szaktars.hu/harmattan/view/otthon/")</f>
        <v>https://www.szaktars.hu/harmattan/view/otthon/</v>
      </c>
    </row>
    <row r="150" spans="1:6" x14ac:dyDescent="0.25">
      <c r="A150" t="s">
        <v>421</v>
      </c>
      <c r="B150" t="s">
        <v>422</v>
      </c>
      <c r="C150" t="s">
        <v>423</v>
      </c>
      <c r="D150">
        <v>2013</v>
      </c>
      <c r="E150" t="s">
        <v>353</v>
      </c>
      <c r="F150" t="str">
        <f>HYPERLINK("https://www.szaktars.hu/harmattan/view/zavaros-idok/", "https://www.szaktars.hu/harmattan/view/zavaros-idok/")</f>
        <v>https://www.szaktars.hu/harmattan/view/zavaros-idok/</v>
      </c>
    </row>
    <row r="151" spans="1:6" x14ac:dyDescent="0.25">
      <c r="A151" t="s">
        <v>424</v>
      </c>
      <c r="B151" t="s">
        <v>425</v>
      </c>
      <c r="C151" t="s">
        <v>426</v>
      </c>
      <c r="D151">
        <v>2010</v>
      </c>
      <c r="E151" t="s">
        <v>353</v>
      </c>
      <c r="F151" t="str">
        <f>HYPERLINK("https://www.szaktars.hu/harmattan/view/idegen-koltok-orok-barataink-vilagirodalom-a-magyar-kulturalis-emlekezetben/", "https://www.szaktars.hu/harmattan/view/idegen-koltok-orok-barataink-vilagirodalom-a-magyar-kulturalis-emlekezetben/")</f>
        <v>https://www.szaktars.hu/harmattan/view/idegen-koltok-orok-barataink-vilagirodalom-a-magyar-kulturalis-emlekezetben/</v>
      </c>
    </row>
    <row r="152" spans="1:6" x14ac:dyDescent="0.25">
      <c r="A152" t="s">
        <v>427</v>
      </c>
      <c r="B152" t="s">
        <v>428</v>
      </c>
      <c r="C152" t="s">
        <v>429</v>
      </c>
      <c r="D152">
        <v>2012</v>
      </c>
      <c r="E152" t="s">
        <v>353</v>
      </c>
      <c r="F152" t="str">
        <f>HYPERLINK("https://www.szaktars.hu/harmattan/view/a-jeruzsalem-projekt-atkeles-az-izraeli-palesztin-hataron/", "https://www.szaktars.hu/harmattan/view/a-jeruzsalem-projekt-atkeles-az-izraeli-palesztin-hataron/")</f>
        <v>https://www.szaktars.hu/harmattan/view/a-jeruzsalem-projekt-atkeles-az-izraeli-palesztin-hataron/</v>
      </c>
    </row>
    <row r="153" spans="1:6" x14ac:dyDescent="0.25">
      <c r="A153" t="s">
        <v>430</v>
      </c>
      <c r="B153" t="s">
        <v>431</v>
      </c>
      <c r="C153" t="s">
        <v>432</v>
      </c>
      <c r="D153">
        <v>2012</v>
      </c>
      <c r="E153" t="s">
        <v>353</v>
      </c>
      <c r="F153" t="str">
        <f>HYPERLINK("https://www.szaktars.hu/harmattan/view/patriarka/", "https://www.szaktars.hu/harmattan/view/patriarka/")</f>
        <v>https://www.szaktars.hu/harmattan/view/patriarka/</v>
      </c>
    </row>
    <row r="154" spans="1:6" x14ac:dyDescent="0.25">
      <c r="A154" t="s">
        <v>433</v>
      </c>
      <c r="B154" t="s">
        <v>434</v>
      </c>
      <c r="C154" t="s">
        <v>435</v>
      </c>
      <c r="D154">
        <v>2009</v>
      </c>
      <c r="E154" t="s">
        <v>353</v>
      </c>
      <c r="F154" t="str">
        <f>HYPERLINK("https://www.szaktars.hu/harmattan/view/ajandekok/", "https://www.szaktars.hu/harmattan/view/ajandekok/")</f>
        <v>https://www.szaktars.hu/harmattan/view/ajandekok/</v>
      </c>
    </row>
    <row r="155" spans="1:6" x14ac:dyDescent="0.25">
      <c r="A155" t="s">
        <v>436</v>
      </c>
      <c r="B155" t="s">
        <v>437</v>
      </c>
      <c r="C155" t="s">
        <v>438</v>
      </c>
      <c r="D155">
        <v>2013</v>
      </c>
      <c r="E155" t="s">
        <v>353</v>
      </c>
      <c r="F155" t="str">
        <f>HYPERLINK("https://www.szaktars.hu/harmattan/view/vegyunk-bucsut-egyutt-a-szeretettol-jozsef-attila-kor-vilagirodalmi-sorozat-72/", "https://www.szaktars.hu/harmattan/view/vegyunk-bucsut-egyutt-a-szeretettol-jozsef-attila-kor-vilagirodalmi-sorozat-72/")</f>
        <v>https://www.szaktars.hu/harmattan/view/vegyunk-bucsut-egyutt-a-szeretettol-jozsef-attila-kor-vilagirodalmi-sorozat-72/</v>
      </c>
    </row>
    <row r="156" spans="1:6" x14ac:dyDescent="0.25">
      <c r="A156" t="s">
        <v>439</v>
      </c>
      <c r="B156" t="s">
        <v>440</v>
      </c>
      <c r="C156" t="s">
        <v>441</v>
      </c>
      <c r="D156">
        <v>2016</v>
      </c>
      <c r="E156" t="s">
        <v>353</v>
      </c>
      <c r="F156" t="str">
        <f>HYPERLINK("https://www.szaktars.hu/harmattan/view/hadewijch-dalok/", "https://www.szaktars.hu/harmattan/view/hadewijch-dalok/")</f>
        <v>https://www.szaktars.hu/harmattan/view/hadewijch-dalok/</v>
      </c>
    </row>
    <row r="157" spans="1:6" x14ac:dyDescent="0.25">
      <c r="A157" t="s">
        <v>442</v>
      </c>
      <c r="B157" t="s">
        <v>443</v>
      </c>
      <c r="C157" t="s">
        <v>444</v>
      </c>
      <c r="D157">
        <v>2015</v>
      </c>
      <c r="E157" t="s">
        <v>353</v>
      </c>
      <c r="F157" t="str">
        <f>HYPERLINK("https://www.szaktars.hu/harmattan/view/ehseg/", "https://www.szaktars.hu/harmattan/view/ehseg/")</f>
        <v>https://www.szaktars.hu/harmattan/view/ehseg/</v>
      </c>
    </row>
    <row r="158" spans="1:6" x14ac:dyDescent="0.25">
      <c r="A158" t="s">
        <v>445</v>
      </c>
      <c r="B158" t="s">
        <v>446</v>
      </c>
      <c r="C158" t="s">
        <v>447</v>
      </c>
      <c r="D158">
        <v>2011</v>
      </c>
      <c r="E158" t="s">
        <v>353</v>
      </c>
      <c r="F158" t="str">
        <f>HYPERLINK("https://www.szaktars.hu/harmattan/view/negy-fal-kozott-modern-indiai-szatirikus-novellak/", "https://www.szaktars.hu/harmattan/view/negy-fal-kozott-modern-indiai-szatirikus-novellak/")</f>
        <v>https://www.szaktars.hu/harmattan/view/negy-fal-kozott-modern-indiai-szatirikus-novellak/</v>
      </c>
    </row>
    <row r="159" spans="1:6" x14ac:dyDescent="0.25">
      <c r="A159" t="s">
        <v>448</v>
      </c>
      <c r="B159" t="s">
        <v>449</v>
      </c>
      <c r="C159" t="s">
        <v>450</v>
      </c>
      <c r="D159">
        <v>2015</v>
      </c>
      <c r="E159" t="s">
        <v>353</v>
      </c>
      <c r="F159" t="str">
        <f>HYPERLINK("https://www.szaktars.hu/harmattan/view/a-titkos-tortenelem/", "https://www.szaktars.hu/harmattan/view/a-titkos-tortenelem/")</f>
        <v>https://www.szaktars.hu/harmattan/view/a-titkos-tortenelem/</v>
      </c>
    </row>
    <row r="160" spans="1:6" x14ac:dyDescent="0.25">
      <c r="A160" t="s">
        <v>451</v>
      </c>
      <c r="B160" t="s">
        <v>452</v>
      </c>
      <c r="C160" t="s">
        <v>453</v>
      </c>
      <c r="D160">
        <v>2008</v>
      </c>
      <c r="E160" t="s">
        <v>353</v>
      </c>
      <c r="F160" t="str">
        <f>HYPERLINK("https://www.szaktars.hu/harmattan/view/a-nevtelen-fa/", "https://www.szaktars.hu/harmattan/view/a-nevtelen-fa/")</f>
        <v>https://www.szaktars.hu/harmattan/view/a-nevtelen-fa/</v>
      </c>
    </row>
    <row r="161" spans="1:6" x14ac:dyDescent="0.25">
      <c r="A161" t="s">
        <v>454</v>
      </c>
      <c r="B161" t="s">
        <v>455</v>
      </c>
      <c r="C161" t="s">
        <v>456</v>
      </c>
      <c r="D161">
        <v>2016</v>
      </c>
      <c r="E161" t="s">
        <v>353</v>
      </c>
      <c r="F161" t="str">
        <f>HYPERLINK("https://www.szaktars.hu/harmattan/view/ma-ejjel-lattam-ot/", "https://www.szaktars.hu/harmattan/view/ma-ejjel-lattam-ot/")</f>
        <v>https://www.szaktars.hu/harmattan/view/ma-ejjel-lattam-ot/</v>
      </c>
    </row>
    <row r="162" spans="1:6" x14ac:dyDescent="0.25">
      <c r="A162" t="s">
        <v>457</v>
      </c>
      <c r="B162" t="s">
        <v>458</v>
      </c>
      <c r="C162" t="s">
        <v>459</v>
      </c>
      <c r="D162">
        <v>2015</v>
      </c>
      <c r="E162" t="s">
        <v>353</v>
      </c>
      <c r="F162" t="str">
        <f>HYPERLINK("https://www.szaktars.hu/harmattan/view/buick-riviera/", "https://www.szaktars.hu/harmattan/view/buick-riviera/")</f>
        <v>https://www.szaktars.hu/harmattan/view/buick-riviera/</v>
      </c>
    </row>
    <row r="163" spans="1:6" x14ac:dyDescent="0.25">
      <c r="A163" t="s">
        <v>460</v>
      </c>
      <c r="B163" t="s">
        <v>458</v>
      </c>
      <c r="C163" t="s">
        <v>461</v>
      </c>
      <c r="D163">
        <v>2009</v>
      </c>
      <c r="E163" t="s">
        <v>353</v>
      </c>
      <c r="F163" t="str">
        <f>HYPERLINK("https://www.szaktars.hu/harmattan/view/ruta-tannenbaum/", "https://www.szaktars.hu/harmattan/view/ruta-tannenbaum/")</f>
        <v>https://www.szaktars.hu/harmattan/view/ruta-tannenbaum/</v>
      </c>
    </row>
    <row r="164" spans="1:6" x14ac:dyDescent="0.25">
      <c r="A164" t="s">
        <v>462</v>
      </c>
      <c r="B164" t="s">
        <v>463</v>
      </c>
      <c r="C164" t="s">
        <v>464</v>
      </c>
      <c r="D164">
        <v>2005</v>
      </c>
      <c r="E164" t="s">
        <v>353</v>
      </c>
      <c r="F164" t="str">
        <f>HYPERLINK("https://www.szaktars.hu/harmattan/view/hat-boldog-vagyok/", "https://www.szaktars.hu/harmattan/view/hat-boldog-vagyok/")</f>
        <v>https://www.szaktars.hu/harmattan/view/hat-boldog-vagyok/</v>
      </c>
    </row>
    <row r="165" spans="1:6" x14ac:dyDescent="0.25">
      <c r="A165" t="s">
        <v>465</v>
      </c>
      <c r="B165" t="s">
        <v>466</v>
      </c>
      <c r="C165" t="s">
        <v>467</v>
      </c>
      <c r="D165">
        <v>2016</v>
      </c>
      <c r="E165" t="s">
        <v>353</v>
      </c>
      <c r="F165" t="str">
        <f>HYPERLINK("https://www.szaktars.hu/harmattan/view/hotel-sza_adsag-2-in-1/", "https://www.szaktars.hu/harmattan/view/hotel-sza_adsag-2-in-1/")</f>
        <v>https://www.szaktars.hu/harmattan/view/hotel-sza_adsag-2-in-1/</v>
      </c>
    </row>
    <row r="166" spans="1:6" x14ac:dyDescent="0.25">
      <c r="A166" t="s">
        <v>468</v>
      </c>
      <c r="B166" t="s">
        <v>469</v>
      </c>
      <c r="C166" t="s">
        <v>470</v>
      </c>
      <c r="D166">
        <v>2009</v>
      </c>
      <c r="E166" t="s">
        <v>353</v>
      </c>
      <c r="F166" t="str">
        <f>HYPERLINK("https://www.szaktars.hu/harmattan/view/stefan/", "https://www.szaktars.hu/harmattan/view/stefan/")</f>
        <v>https://www.szaktars.hu/harmattan/view/stefan/</v>
      </c>
    </row>
    <row r="167" spans="1:6" x14ac:dyDescent="0.25">
      <c r="A167" t="s">
        <v>471</v>
      </c>
      <c r="B167" t="s">
        <v>472</v>
      </c>
      <c r="C167" t="s">
        <v>473</v>
      </c>
      <c r="D167">
        <v>2008</v>
      </c>
      <c r="E167" t="s">
        <v>353</v>
      </c>
      <c r="F167" t="str">
        <f>HYPERLINK("https://www.szaktars.hu/harmattan/view/fragma/", "https://www.szaktars.hu/harmattan/view/fragma/")</f>
        <v>https://www.szaktars.hu/harmattan/view/fragma/</v>
      </c>
    </row>
    <row r="168" spans="1:6" x14ac:dyDescent="0.25">
      <c r="A168" t="s">
        <v>474</v>
      </c>
      <c r="B168" t="s">
        <v>475</v>
      </c>
      <c r="C168" t="s">
        <v>476</v>
      </c>
      <c r="D168">
        <v>2012</v>
      </c>
      <c r="E168" t="s">
        <v>353</v>
      </c>
      <c r="F168" t="str">
        <f>HYPERLINK("https://www.szaktars.hu/harmattan/view/big-shoot/", "https://www.szaktars.hu/harmattan/view/big-shoot/")</f>
        <v>https://www.szaktars.hu/harmattan/view/big-shoot/</v>
      </c>
    </row>
    <row r="169" spans="1:6" x14ac:dyDescent="0.25">
      <c r="A169" t="s">
        <v>477</v>
      </c>
      <c r="B169" t="s">
        <v>478</v>
      </c>
      <c r="C169" t="s">
        <v>479</v>
      </c>
      <c r="D169">
        <v>2012</v>
      </c>
      <c r="E169" t="s">
        <v>353</v>
      </c>
      <c r="F169" t="str">
        <f>HYPERLINK("https://www.szaktars.hu/harmattan/view/zsiraf/", "https://www.szaktars.hu/harmattan/view/zsiraf/")</f>
        <v>https://www.szaktars.hu/harmattan/view/zsiraf/</v>
      </c>
    </row>
    <row r="170" spans="1:6" x14ac:dyDescent="0.25">
      <c r="A170" t="s">
        <v>480</v>
      </c>
      <c r="B170" t="s">
        <v>481</v>
      </c>
      <c r="C170" t="s">
        <v>482</v>
      </c>
      <c r="D170">
        <v>2014</v>
      </c>
      <c r="E170" t="s">
        <v>353</v>
      </c>
      <c r="F170" t="str">
        <f>HYPERLINK("https://www.szaktars.hu/harmattan/view/a-portas-en-vagyok/", "https://www.szaktars.hu/harmattan/view/a-portas-en-vagyok/")</f>
        <v>https://www.szaktars.hu/harmattan/view/a-portas-en-vagyok/</v>
      </c>
    </row>
    <row r="171" spans="1:6" x14ac:dyDescent="0.25">
      <c r="A171" t="s">
        <v>483</v>
      </c>
      <c r="B171" t="s">
        <v>484</v>
      </c>
      <c r="C171" t="s">
        <v>485</v>
      </c>
      <c r="D171">
        <v>2017</v>
      </c>
      <c r="E171" t="s">
        <v>353</v>
      </c>
      <c r="F171" t="str">
        <f>HYPERLINK("https://www.szaktars.hu/harmattan/view/orokanyak-vilaglanyok-szami-versek/", "https://www.szaktars.hu/harmattan/view/orokanyak-vilaglanyok-szami-versek/")</f>
        <v>https://www.szaktars.hu/harmattan/view/orokanyak-vilaglanyok-szami-versek/</v>
      </c>
    </row>
    <row r="172" spans="1:6" x14ac:dyDescent="0.25">
      <c r="A172" t="s">
        <v>486</v>
      </c>
      <c r="B172" t="s">
        <v>487</v>
      </c>
      <c r="C172" t="s">
        <v>488</v>
      </c>
      <c r="D172">
        <v>2016</v>
      </c>
      <c r="E172" t="s">
        <v>353</v>
      </c>
      <c r="F172" t="str">
        <f>HYPERLINK("https://www.szaktars.hu/harmattan/view/felhoutazok/", "https://www.szaktars.hu/harmattan/view/felhoutazok/")</f>
        <v>https://www.szaktars.hu/harmattan/view/felhoutazok/</v>
      </c>
    </row>
    <row r="173" spans="1:6" x14ac:dyDescent="0.25">
      <c r="A173" t="s">
        <v>489</v>
      </c>
      <c r="B173" t="s">
        <v>490</v>
      </c>
      <c r="C173" t="s">
        <v>491</v>
      </c>
      <c r="D173">
        <v>2015</v>
      </c>
      <c r="E173" t="s">
        <v>353</v>
      </c>
      <c r="F173" t="str">
        <f>HYPERLINK("https://www.szaktars.hu/harmattan/view/natura-morta-111-kortars-katalan-vers-katalan-konyvtar-14/", "https://www.szaktars.hu/harmattan/view/natura-morta-111-kortars-katalan-vers-katalan-konyvtar-14/")</f>
        <v>https://www.szaktars.hu/harmattan/view/natura-morta-111-kortars-katalan-vers-katalan-konyvtar-14/</v>
      </c>
    </row>
    <row r="174" spans="1:6" x14ac:dyDescent="0.25">
      <c r="A174" t="s">
        <v>492</v>
      </c>
      <c r="B174" t="s">
        <v>493</v>
      </c>
      <c r="C174" t="s">
        <v>494</v>
      </c>
      <c r="D174">
        <v>2016</v>
      </c>
      <c r="E174" t="s">
        <v>353</v>
      </c>
      <c r="F174" t="str">
        <f>HYPERLINK("https://www.szaktars.hu/harmattan/view/nagyon-is-emberi-remeny/", "https://www.szaktars.hu/harmattan/view/nagyon-is-emberi-remeny/")</f>
        <v>https://www.szaktars.hu/harmattan/view/nagyon-is-emberi-remeny/</v>
      </c>
    </row>
    <row r="175" spans="1:6" x14ac:dyDescent="0.25">
      <c r="A175" t="s">
        <v>495</v>
      </c>
      <c r="B175" t="s">
        <v>496</v>
      </c>
      <c r="C175" t="s">
        <v>497</v>
      </c>
      <c r="D175">
        <v>2012</v>
      </c>
      <c r="E175" t="s">
        <v>353</v>
      </c>
      <c r="F175" t="str">
        <f>HYPERLINK("https://www.szaktars.hu/harmattan/view/a-kommunizmus-tortenete-elmebetegeknek-dramak/", "https://www.szaktars.hu/harmattan/view/a-kommunizmus-tortenete-elmebetegeknek-dramak/")</f>
        <v>https://www.szaktars.hu/harmattan/view/a-kommunizmus-tortenete-elmebetegeknek-dramak/</v>
      </c>
    </row>
    <row r="176" spans="1:6" x14ac:dyDescent="0.25">
      <c r="A176" t="s">
        <v>498</v>
      </c>
      <c r="B176" t="s">
        <v>499</v>
      </c>
      <c r="C176" t="s">
        <v>500</v>
      </c>
      <c r="D176">
        <v>2010</v>
      </c>
      <c r="E176" t="s">
        <v>353</v>
      </c>
      <c r="F176" t="str">
        <f>HYPERLINK("https://www.szaktars.hu/harmattan/view/szerelmeslevelek-sztalinhoz/", "https://www.szaktars.hu/harmattan/view/szerelmeslevelek-sztalinhoz/")</f>
        <v>https://www.szaktars.hu/harmattan/view/szerelmeslevelek-sztalinhoz/</v>
      </c>
    </row>
    <row r="177" spans="1:6" x14ac:dyDescent="0.25">
      <c r="A177" t="s">
        <v>501</v>
      </c>
      <c r="B177" t="s">
        <v>502</v>
      </c>
      <c r="C177" t="s">
        <v>503</v>
      </c>
      <c r="D177">
        <v>2013</v>
      </c>
      <c r="E177" t="s">
        <v>353</v>
      </c>
      <c r="F177" t="str">
        <f>HYPERLINK("https://www.szaktars.hu/harmattan/view/ruszki-komputer/", "https://www.szaktars.hu/harmattan/view/ruszki-komputer/")</f>
        <v>https://www.szaktars.hu/harmattan/view/ruszki-komputer/</v>
      </c>
    </row>
    <row r="178" spans="1:6" x14ac:dyDescent="0.25">
      <c r="A178" t="s">
        <v>504</v>
      </c>
      <c r="B178" t="s">
        <v>505</v>
      </c>
      <c r="C178" t="s">
        <v>506</v>
      </c>
      <c r="D178">
        <v>2002</v>
      </c>
      <c r="E178" t="s">
        <v>353</v>
      </c>
      <c r="F178" t="str">
        <f>HYPERLINK("https://www.szaktars.hu/harmattan/view/kokorszak/", "https://www.szaktars.hu/harmattan/view/kokorszak/")</f>
        <v>https://www.szaktars.hu/harmattan/view/kokorszak/</v>
      </c>
    </row>
    <row r="179" spans="1:6" x14ac:dyDescent="0.25">
      <c r="A179" t="s">
        <v>507</v>
      </c>
      <c r="B179" t="s">
        <v>505</v>
      </c>
      <c r="C179" t="s">
        <v>508</v>
      </c>
      <c r="D179">
        <v>2008</v>
      </c>
      <c r="E179" t="s">
        <v>353</v>
      </c>
      <c r="F179" t="str">
        <f>HYPERLINK("https://www.szaktars.hu/harmattan/view/uzenetek-a-szamkivetesbol/", "https://www.szaktars.hu/harmattan/view/uzenetek-a-szamkivetesbol/")</f>
        <v>https://www.szaktars.hu/harmattan/view/uzenetek-a-szamkivetesbol/</v>
      </c>
    </row>
    <row r="180" spans="1:6" x14ac:dyDescent="0.25">
      <c r="A180" t="s">
        <v>509</v>
      </c>
      <c r="B180" t="s">
        <v>510</v>
      </c>
      <c r="C180" t="s">
        <v>511</v>
      </c>
      <c r="D180">
        <v>2016</v>
      </c>
      <c r="E180" t="s">
        <v>353</v>
      </c>
      <c r="F180" t="str">
        <f>HYPERLINK("https://www.szaktars.hu/harmattan/view/ukulele-jam/", "https://www.szaktars.hu/harmattan/view/ukulele-jam/")</f>
        <v>https://www.szaktars.hu/harmattan/view/ukulele-jam/</v>
      </c>
    </row>
    <row r="181" spans="1:6" x14ac:dyDescent="0.25">
      <c r="A181" t="s">
        <v>512</v>
      </c>
      <c r="B181" t="s">
        <v>513</v>
      </c>
      <c r="C181" t="s">
        <v>514</v>
      </c>
      <c r="D181">
        <v>2013</v>
      </c>
      <c r="E181" t="s">
        <v>353</v>
      </c>
      <c r="F181" t="str">
        <f>HYPERLINK("https://www.szaktars.hu/harmattan/view/a-folyok-varosa/", "https://www.szaktars.hu/harmattan/view/a-folyok-varosa/")</f>
        <v>https://www.szaktars.hu/harmattan/view/a-folyok-varosa/</v>
      </c>
    </row>
    <row r="182" spans="1:6" x14ac:dyDescent="0.25">
      <c r="A182" t="s">
        <v>515</v>
      </c>
      <c r="B182" t="s">
        <v>513</v>
      </c>
      <c r="C182" t="s">
        <v>516</v>
      </c>
      <c r="D182">
        <v>2012</v>
      </c>
      <c r="E182" t="s">
        <v>353</v>
      </c>
      <c r="F182" t="str">
        <f>HYPERLINK("https://www.szaktars.hu/harmattan/view/balkezrol-jott-tortenetek/", "https://www.szaktars.hu/harmattan/view/balkezrol-jott-tortenetek/")</f>
        <v>https://www.szaktars.hu/harmattan/view/balkezrol-jott-tortenetek/</v>
      </c>
    </row>
    <row r="183" spans="1:6" x14ac:dyDescent="0.25">
      <c r="A183" t="s">
        <v>517</v>
      </c>
      <c r="B183" t="s">
        <v>518</v>
      </c>
      <c r="C183" t="s">
        <v>519</v>
      </c>
      <c r="D183">
        <v>2007</v>
      </c>
      <c r="E183" t="s">
        <v>353</v>
      </c>
      <c r="F183" t="str">
        <f>HYPERLINK("https://www.szaktars.hu/harmattan/view/az-utolso-boszorkany/", "https://www.szaktars.hu/harmattan/view/az-utolso-boszorkany/")</f>
        <v>https://www.szaktars.hu/harmattan/view/az-utolso-boszorkany/</v>
      </c>
    </row>
    <row r="184" spans="1:6" x14ac:dyDescent="0.25">
      <c r="A184" t="s">
        <v>520</v>
      </c>
      <c r="B184" t="s">
        <v>521</v>
      </c>
      <c r="C184" t="s">
        <v>522</v>
      </c>
      <c r="D184">
        <v>2008</v>
      </c>
      <c r="E184" t="s">
        <v>353</v>
      </c>
      <c r="F184" t="str">
        <f>HYPERLINK("https://www.szaktars.hu/harmattan/view/a-test-fenyei/", "https://www.szaktars.hu/harmattan/view/a-test-fenyei/")</f>
        <v>https://www.szaktars.hu/harmattan/view/a-test-fenyei/</v>
      </c>
    </row>
    <row r="185" spans="1:6" x14ac:dyDescent="0.25">
      <c r="A185" t="s">
        <v>523</v>
      </c>
      <c r="B185" t="s">
        <v>521</v>
      </c>
      <c r="C185" t="s">
        <v>524</v>
      </c>
      <c r="D185">
        <v>2009</v>
      </c>
      <c r="E185" t="s">
        <v>353</v>
      </c>
      <c r="F185" t="str">
        <f>HYPERLINK("https://www.szaktars.hu/harmattan/view/kepzeletbeli-operett/", "https://www.szaktars.hu/harmattan/view/kepzeletbeli-operett/")</f>
        <v>https://www.szaktars.hu/harmattan/view/kepzeletbeli-operett/</v>
      </c>
    </row>
    <row r="186" spans="1:6" x14ac:dyDescent="0.25">
      <c r="A186" t="s">
        <v>525</v>
      </c>
      <c r="B186" t="s">
        <v>526</v>
      </c>
      <c r="C186" t="s">
        <v>527</v>
      </c>
      <c r="D186">
        <v>2015</v>
      </c>
      <c r="E186" t="s">
        <v>353</v>
      </c>
      <c r="F186" t="str">
        <f>HYPERLINK("https://www.szaktars.hu/harmattan/view/akvarellek/", "https://www.szaktars.hu/harmattan/view/akvarellek/")</f>
        <v>https://www.szaktars.hu/harmattan/view/akvarellek/</v>
      </c>
    </row>
    <row r="187" spans="1:6" x14ac:dyDescent="0.25">
      <c r="A187" t="s">
        <v>528</v>
      </c>
      <c r="B187" t="s">
        <v>529</v>
      </c>
      <c r="C187" t="s">
        <v>530</v>
      </c>
      <c r="D187">
        <v>2011</v>
      </c>
      <c r="E187" t="s">
        <v>353</v>
      </c>
      <c r="F187" t="str">
        <f>HYPERLINK("https://www.szaktars.hu/harmattan/view/vizmuvek/", "https://www.szaktars.hu/harmattan/view/vizmuvek/")</f>
        <v>https://www.szaktars.hu/harmattan/view/vizmuvek/</v>
      </c>
    </row>
    <row r="188" spans="1:6" x14ac:dyDescent="0.25">
      <c r="A188" t="s">
        <v>531</v>
      </c>
      <c r="B188" t="s">
        <v>532</v>
      </c>
      <c r="C188" t="s">
        <v>533</v>
      </c>
      <c r="D188">
        <v>2012</v>
      </c>
      <c r="E188" t="s">
        <v>353</v>
      </c>
      <c r="F188" t="str">
        <f>HYPERLINK("https://www.szaktars.hu/harmattan/view/mormogo-fal/", "https://www.szaktars.hu/harmattan/view/mormogo-fal/")</f>
        <v>https://www.szaktars.hu/harmattan/view/mormogo-fal/</v>
      </c>
    </row>
    <row r="189" spans="1:6" x14ac:dyDescent="0.25">
      <c r="A189" t="s">
        <v>534</v>
      </c>
      <c r="B189" t="s">
        <v>535</v>
      </c>
      <c r="C189" t="s">
        <v>536</v>
      </c>
      <c r="D189">
        <v>2011</v>
      </c>
      <c r="E189" t="s">
        <v>353</v>
      </c>
      <c r="F189" t="str">
        <f>HYPERLINK("https://www.szaktars.hu/harmattan/view/a-jovo-nem-a-mienk-fiatal-latin-amerikai-elbeszelok/", "https://www.szaktars.hu/harmattan/view/a-jovo-nem-a-mienk-fiatal-latin-amerikai-elbeszelok/")</f>
        <v>https://www.szaktars.hu/harmattan/view/a-jovo-nem-a-mienk-fiatal-latin-amerikai-elbeszelok/</v>
      </c>
    </row>
    <row r="190" spans="1:6" x14ac:dyDescent="0.25">
      <c r="A190" t="s">
        <v>537</v>
      </c>
      <c r="B190" t="s">
        <v>538</v>
      </c>
      <c r="C190" t="s">
        <v>539</v>
      </c>
      <c r="D190">
        <v>2010</v>
      </c>
      <c r="E190" t="s">
        <v>353</v>
      </c>
      <c r="F190" t="str">
        <f>HYPERLINK("https://www.szaktars.hu/harmattan/view/a-test-fenyei-1/", "https://www.szaktars.hu/harmattan/view/a-test-fenyei-1/")</f>
        <v>https://www.szaktars.hu/harmattan/view/a-test-fenyei-1/</v>
      </c>
    </row>
    <row r="191" spans="1:6" x14ac:dyDescent="0.25">
      <c r="A191" t="s">
        <v>540</v>
      </c>
      <c r="B191" t="s">
        <v>541</v>
      </c>
      <c r="C191" t="s">
        <v>542</v>
      </c>
      <c r="D191">
        <v>2012</v>
      </c>
      <c r="E191" t="s">
        <v>353</v>
      </c>
      <c r="F191" t="str">
        <f>HYPERLINK("https://www.szaktars.hu/harmattan/view/lord-sohamar/", "https://www.szaktars.hu/harmattan/view/lord-sohamar/")</f>
        <v>https://www.szaktars.hu/harmattan/view/lord-sohamar/</v>
      </c>
    </row>
    <row r="192" spans="1:6" x14ac:dyDescent="0.25">
      <c r="A192" t="s">
        <v>543</v>
      </c>
      <c r="B192" t="s">
        <v>544</v>
      </c>
      <c r="C192" t="s">
        <v>545</v>
      </c>
      <c r="D192">
        <v>2016</v>
      </c>
      <c r="E192" t="s">
        <v>353</v>
      </c>
      <c r="F192" t="str">
        <f>HYPERLINK("https://www.szaktars.hu/harmattan/view/halott-a-bunkerban/", "https://www.szaktars.hu/harmattan/view/halott-a-bunkerban/")</f>
        <v>https://www.szaktars.hu/harmattan/view/halott-a-bunkerban/</v>
      </c>
    </row>
    <row r="193" spans="1:6" x14ac:dyDescent="0.25">
      <c r="A193" t="s">
        <v>546</v>
      </c>
      <c r="B193" t="s">
        <v>547</v>
      </c>
      <c r="C193" t="s">
        <v>548</v>
      </c>
      <c r="D193">
        <v>2016</v>
      </c>
      <c r="E193" t="s">
        <v>353</v>
      </c>
      <c r="F193" t="str">
        <f>HYPERLINK("https://www.szaktars.hu/harmattan/view/a-dolgok-oldalan/", "https://www.szaktars.hu/harmattan/view/a-dolgok-oldalan/")</f>
        <v>https://www.szaktars.hu/harmattan/view/a-dolgok-oldalan/</v>
      </c>
    </row>
    <row r="194" spans="1:6" x14ac:dyDescent="0.25">
      <c r="A194" t="s">
        <v>549</v>
      </c>
      <c r="B194" t="s">
        <v>550</v>
      </c>
      <c r="C194" t="s">
        <v>551</v>
      </c>
      <c r="D194">
        <v>2011</v>
      </c>
      <c r="E194" t="s">
        <v>353</v>
      </c>
      <c r="F194" t="str">
        <f>HYPERLINK("https://www.szaktars.hu/harmattan/view/mrs-haroy-avagy-a-balna-emlekezete/", "https://www.szaktars.hu/harmattan/view/mrs-haroy-avagy-a-balna-emlekezete/")</f>
        <v>https://www.szaktars.hu/harmattan/view/mrs-haroy-avagy-a-balna-emlekezete/</v>
      </c>
    </row>
    <row r="195" spans="1:6" x14ac:dyDescent="0.25">
      <c r="A195" t="s">
        <v>552</v>
      </c>
      <c r="B195" t="s">
        <v>553</v>
      </c>
      <c r="C195" t="s">
        <v>554</v>
      </c>
      <c r="D195">
        <v>2012</v>
      </c>
      <c r="E195" t="s">
        <v>353</v>
      </c>
      <c r="F195" t="str">
        <f>HYPERLINK("https://www.szaktars.hu/harmattan/view/kert-velenceben/", "https://www.szaktars.hu/harmattan/view/kert-velenceben/")</f>
        <v>https://www.szaktars.hu/harmattan/view/kert-velenceben/</v>
      </c>
    </row>
    <row r="196" spans="1:6" x14ac:dyDescent="0.25">
      <c r="A196" t="s">
        <v>555</v>
      </c>
      <c r="B196" t="s">
        <v>556</v>
      </c>
      <c r="C196" t="s">
        <v>557</v>
      </c>
      <c r="D196">
        <v>2008</v>
      </c>
      <c r="E196" t="s">
        <v>353</v>
      </c>
      <c r="F196" t="str">
        <f>HYPERLINK("https://www.szaktars.hu/harmattan/view/a-kozelben-maradunk/", "https://www.szaktars.hu/harmattan/view/a-kozelben-maradunk/")</f>
        <v>https://www.szaktars.hu/harmattan/view/a-kozelben-maradunk/</v>
      </c>
    </row>
    <row r="197" spans="1:6" x14ac:dyDescent="0.25">
      <c r="A197" t="s">
        <v>558</v>
      </c>
      <c r="B197" t="s">
        <v>559</v>
      </c>
      <c r="C197" t="s">
        <v>560</v>
      </c>
      <c r="D197">
        <v>2013</v>
      </c>
      <c r="E197" t="s">
        <v>353</v>
      </c>
      <c r="F197" t="str">
        <f>HYPERLINK("https://www.szaktars.hu/harmattan/view/charlotte-isabel-hansen-jozsef-attila-kor-vilagirodalmi-sorozat-73/", "https://www.szaktars.hu/harmattan/view/charlotte-isabel-hansen-jozsef-attila-kor-vilagirodalmi-sorozat-73/")</f>
        <v>https://www.szaktars.hu/harmattan/view/charlotte-isabel-hansen-jozsef-attila-kor-vilagirodalmi-sorozat-73/</v>
      </c>
    </row>
    <row r="198" spans="1:6" x14ac:dyDescent="0.25">
      <c r="A198" t="s">
        <v>561</v>
      </c>
      <c r="B198" t="s">
        <v>559</v>
      </c>
      <c r="C198" t="s">
        <v>562</v>
      </c>
      <c r="D198">
        <v>2012</v>
      </c>
      <c r="E198" t="s">
        <v>353</v>
      </c>
      <c r="F198" t="str">
        <f>HYPERLINK("https://www.szaktars.hu/harmattan/view/megis-van-apam/", "https://www.szaktars.hu/harmattan/view/megis-van-apam/")</f>
        <v>https://www.szaktars.hu/harmattan/view/megis-van-apam/</v>
      </c>
    </row>
    <row r="199" spans="1:6" x14ac:dyDescent="0.25">
      <c r="A199" t="s">
        <v>563</v>
      </c>
      <c r="B199" t="s">
        <v>559</v>
      </c>
      <c r="C199" t="s">
        <v>564</v>
      </c>
      <c r="D199">
        <v>2009</v>
      </c>
      <c r="E199" t="s">
        <v>353</v>
      </c>
      <c r="F199" t="str">
        <f>HYPERLINK("https://www.szaktars.hu/harmattan/view/szerettem-maskepp-is/", "https://www.szaktars.hu/harmattan/view/szerettem-maskepp-is/")</f>
        <v>https://www.szaktars.hu/harmattan/view/szerettem-maskepp-is/</v>
      </c>
    </row>
    <row r="200" spans="1:6" x14ac:dyDescent="0.25">
      <c r="A200" t="s">
        <v>565</v>
      </c>
      <c r="B200" t="s">
        <v>566</v>
      </c>
      <c r="C200" t="s">
        <v>567</v>
      </c>
      <c r="D200">
        <v>2014</v>
      </c>
      <c r="E200" t="s">
        <v>353</v>
      </c>
      <c r="F200" t="str">
        <f>HYPERLINK("https://www.szaktars.hu/harmattan/view/levelek-egy-ifju-koltohoz/", "https://www.szaktars.hu/harmattan/view/levelek-egy-ifju-koltohoz/")</f>
        <v>https://www.szaktars.hu/harmattan/view/levelek-egy-ifju-koltohoz/</v>
      </c>
    </row>
    <row r="201" spans="1:6" x14ac:dyDescent="0.25">
      <c r="A201" t="s">
        <v>568</v>
      </c>
      <c r="B201" t="s">
        <v>569</v>
      </c>
      <c r="C201" t="s">
        <v>570</v>
      </c>
      <c r="D201">
        <v>2015</v>
      </c>
      <c r="E201" t="s">
        <v>353</v>
      </c>
      <c r="F201" t="str">
        <f>HYPERLINK("https://www.szaktars.hu/harmattan/view/torott-tukor/", "https://www.szaktars.hu/harmattan/view/torott-tukor/")</f>
        <v>https://www.szaktars.hu/harmattan/view/torott-tukor/</v>
      </c>
    </row>
    <row r="202" spans="1:6" x14ac:dyDescent="0.25">
      <c r="A202" t="s">
        <v>571</v>
      </c>
      <c r="B202" t="s">
        <v>572</v>
      </c>
      <c r="C202" t="s">
        <v>573</v>
      </c>
      <c r="D202">
        <v>2013</v>
      </c>
      <c r="E202" t="s">
        <v>353</v>
      </c>
      <c r="F202" t="str">
        <f>HYPERLINK("https://www.szaktars.hu/harmattan/view/sovargas-sarkanyra/", "https://www.szaktars.hu/harmattan/view/sovargas-sarkanyra/")</f>
        <v>https://www.szaktars.hu/harmattan/view/sovargas-sarkanyra/</v>
      </c>
    </row>
    <row r="203" spans="1:6" x14ac:dyDescent="0.25">
      <c r="A203" t="s">
        <v>574</v>
      </c>
      <c r="B203" t="s">
        <v>575</v>
      </c>
      <c r="C203" t="s">
        <v>576</v>
      </c>
      <c r="D203">
        <v>2011</v>
      </c>
      <c r="E203" t="s">
        <v>353</v>
      </c>
      <c r="F203" t="str">
        <f>HYPERLINK("https://www.szaktars.hu/harmattan/view/a-becsulet-mezejen/", "https://www.szaktars.hu/harmattan/view/a-becsulet-mezejen/")</f>
        <v>https://www.szaktars.hu/harmattan/view/a-becsulet-mezejen/</v>
      </c>
    </row>
    <row r="204" spans="1:6" x14ac:dyDescent="0.25">
      <c r="A204" t="s">
        <v>577</v>
      </c>
      <c r="B204" t="s">
        <v>575</v>
      </c>
      <c r="C204" t="s">
        <v>578</v>
      </c>
      <c r="D204">
        <v>2013</v>
      </c>
      <c r="E204" t="s">
        <v>353</v>
      </c>
      <c r="F204" t="str">
        <f>HYPERLINK("https://www.szaktars.hu/harmattan/view/jeles-ferfiak/", "https://www.szaktars.hu/harmattan/view/jeles-ferfiak/")</f>
        <v>https://www.szaktars.hu/harmattan/view/jeles-ferfiak/</v>
      </c>
    </row>
    <row r="205" spans="1:6" x14ac:dyDescent="0.25">
      <c r="A205" t="s">
        <v>579</v>
      </c>
      <c r="B205" t="s">
        <v>580</v>
      </c>
      <c r="C205" t="s">
        <v>581</v>
      </c>
      <c r="D205">
        <v>2008</v>
      </c>
      <c r="E205" t="s">
        <v>353</v>
      </c>
      <c r="F205" t="str">
        <f>HYPERLINK("https://www.szaktars.hu/harmattan/view/a-nagy-londoni-tuzvesz-tudositas-csatlakozasokkal-es-elagazasokkal/", "https://www.szaktars.hu/harmattan/view/a-nagy-londoni-tuzvesz-tudositas-csatlakozasokkal-es-elagazasokkal/")</f>
        <v>https://www.szaktars.hu/harmattan/view/a-nagy-londoni-tuzvesz-tudositas-csatlakozasokkal-es-elagazasokkal/</v>
      </c>
    </row>
    <row r="206" spans="1:6" x14ac:dyDescent="0.25">
      <c r="A206" t="s">
        <v>582</v>
      </c>
      <c r="B206" t="s">
        <v>583</v>
      </c>
      <c r="C206" t="s">
        <v>584</v>
      </c>
      <c r="D206">
        <v>2006</v>
      </c>
      <c r="E206" t="s">
        <v>353</v>
      </c>
      <c r="F206" t="str">
        <f>HYPERLINK("https://www.szaktars.hu/harmattan/view/ful-gege-kes/", "https://www.szaktars.hu/harmattan/view/ful-gege-kes/")</f>
        <v>https://www.szaktars.hu/harmattan/view/ful-gege-kes/</v>
      </c>
    </row>
    <row r="207" spans="1:6" x14ac:dyDescent="0.25">
      <c r="A207" t="s">
        <v>585</v>
      </c>
      <c r="B207" t="s">
        <v>586</v>
      </c>
      <c r="C207" t="s">
        <v>587</v>
      </c>
      <c r="D207">
        <v>2016</v>
      </c>
      <c r="E207" t="s">
        <v>353</v>
      </c>
      <c r="F207" t="str">
        <f>HYPERLINK("https://www.szaktars.hu/harmattan/view/elni-tovabb-becs-auschwitz-new-york/", "https://www.szaktars.hu/harmattan/view/elni-tovabb-becs-auschwitz-new-york/")</f>
        <v>https://www.szaktars.hu/harmattan/view/elni-tovabb-becs-auschwitz-new-york/</v>
      </c>
    </row>
    <row r="208" spans="1:6" x14ac:dyDescent="0.25">
      <c r="A208" t="s">
        <v>588</v>
      </c>
      <c r="B208" t="s">
        <v>589</v>
      </c>
      <c r="C208" t="s">
        <v>590</v>
      </c>
      <c r="D208">
        <v>2013</v>
      </c>
      <c r="E208" t="s">
        <v>353</v>
      </c>
      <c r="F208" t="str">
        <f>HYPERLINK("https://www.szaktars.hu/harmattan/view/bariona-avagy-szinjatek-a-fajdalomrol-es-a-remenyrol/", "https://www.szaktars.hu/harmattan/view/bariona-avagy-szinjatek-a-fajdalomrol-es-a-remenyrol/")</f>
        <v>https://www.szaktars.hu/harmattan/view/bariona-avagy-szinjatek-a-fajdalomrol-es-a-remenyrol/</v>
      </c>
    </row>
    <row r="209" spans="1:6" x14ac:dyDescent="0.25">
      <c r="A209" t="s">
        <v>591</v>
      </c>
      <c r="B209" t="s">
        <v>592</v>
      </c>
      <c r="C209" t="s">
        <v>593</v>
      </c>
      <c r="D209">
        <v>2016</v>
      </c>
      <c r="E209" t="s">
        <v>353</v>
      </c>
      <c r="F209" t="str">
        <f>HYPERLINK("https://www.szaktars.hu/harmattan/view/az-una-hullamai/", "https://www.szaktars.hu/harmattan/view/az-una-hullamai/")</f>
        <v>https://www.szaktars.hu/harmattan/view/az-una-hullamai/</v>
      </c>
    </row>
    <row r="210" spans="1:6" x14ac:dyDescent="0.25">
      <c r="A210" t="s">
        <v>594</v>
      </c>
      <c r="B210" t="s">
        <v>595</v>
      </c>
      <c r="C210" t="s">
        <v>596</v>
      </c>
      <c r="D210">
        <v>2012</v>
      </c>
      <c r="E210" t="s">
        <v>353</v>
      </c>
      <c r="F210" t="str">
        <f>HYPERLINK("https://www.szaktars.hu/harmattan/view/illatos-koporso/", "https://www.szaktars.hu/harmattan/view/illatos-koporso/")</f>
        <v>https://www.szaktars.hu/harmattan/view/illatos-koporso/</v>
      </c>
    </row>
    <row r="211" spans="1:6" x14ac:dyDescent="0.25">
      <c r="A211" t="s">
        <v>597</v>
      </c>
      <c r="B211" t="s">
        <v>598</v>
      </c>
      <c r="C211" t="s">
        <v>599</v>
      </c>
      <c r="D211">
        <v>2014</v>
      </c>
      <c r="E211" t="s">
        <v>353</v>
      </c>
      <c r="F211" t="str">
        <f>HYPERLINK("https://www.szaktars.hu/harmattan/view/julius-caesar/", "https://www.szaktars.hu/harmattan/view/julius-caesar/")</f>
        <v>https://www.szaktars.hu/harmattan/view/julius-caesar/</v>
      </c>
    </row>
    <row r="212" spans="1:6" x14ac:dyDescent="0.25">
      <c r="A212" t="s">
        <v>600</v>
      </c>
      <c r="B212" t="s">
        <v>601</v>
      </c>
      <c r="C212" t="s">
        <v>602</v>
      </c>
      <c r="D212">
        <v>2016</v>
      </c>
      <c r="E212" t="s">
        <v>353</v>
      </c>
      <c r="F212" t="str">
        <f>HYPERLINK("https://www.szaktars.hu/harmattan/view/hianyos-fiasitas/", "https://www.szaktars.hu/harmattan/view/hianyos-fiasitas/")</f>
        <v>https://www.szaktars.hu/harmattan/view/hianyos-fiasitas/</v>
      </c>
    </row>
    <row r="213" spans="1:6" x14ac:dyDescent="0.25">
      <c r="A213" t="s">
        <v>603</v>
      </c>
      <c r="B213" t="s">
        <v>604</v>
      </c>
      <c r="C213" t="s">
        <v>605</v>
      </c>
      <c r="D213">
        <v>2014</v>
      </c>
      <c r="E213" t="s">
        <v>353</v>
      </c>
      <c r="F213" t="str">
        <f>HYPERLINK("https://www.szaktars.hu/harmattan/view/menetterti/", "https://www.szaktars.hu/harmattan/view/menetterti/")</f>
        <v>https://www.szaktars.hu/harmattan/view/menetterti/</v>
      </c>
    </row>
    <row r="214" spans="1:6" x14ac:dyDescent="0.25">
      <c r="A214" t="s">
        <v>606</v>
      </c>
      <c r="B214" t="s">
        <v>607</v>
      </c>
      <c r="C214" t="s">
        <v>608</v>
      </c>
      <c r="D214">
        <v>2012</v>
      </c>
      <c r="E214" t="s">
        <v>353</v>
      </c>
      <c r="F214" t="str">
        <f>HYPERLINK("https://www.szaktars.hu/harmattan/view/nulla-nyolcszaz/", "https://www.szaktars.hu/harmattan/view/nulla-nyolcszaz/")</f>
        <v>https://www.szaktars.hu/harmattan/view/nulla-nyolcszaz/</v>
      </c>
    </row>
    <row r="215" spans="1:6" x14ac:dyDescent="0.25">
      <c r="A215" t="s">
        <v>609</v>
      </c>
      <c r="B215" t="s">
        <v>610</v>
      </c>
      <c r="C215" t="s">
        <v>611</v>
      </c>
      <c r="D215">
        <v>2015</v>
      </c>
      <c r="E215" t="s">
        <v>353</v>
      </c>
      <c r="F215" t="str">
        <f>HYPERLINK("https://www.szaktars.hu/harmattan/view/jean-brodie-kisasszony-fenykora-valahol-europaban-18/", "https://www.szaktars.hu/harmattan/view/jean-brodie-kisasszony-fenykora-valahol-europaban-18/")</f>
        <v>https://www.szaktars.hu/harmattan/view/jean-brodie-kisasszony-fenykora-valahol-europaban-18/</v>
      </c>
    </row>
    <row r="216" spans="1:6" x14ac:dyDescent="0.25">
      <c r="A216" t="s">
        <v>612</v>
      </c>
      <c r="B216" t="s">
        <v>613</v>
      </c>
      <c r="C216" t="s">
        <v>614</v>
      </c>
      <c r="D216">
        <v>2011</v>
      </c>
      <c r="E216" t="s">
        <v>353</v>
      </c>
      <c r="F216" t="str">
        <f>HYPERLINK("https://www.szaktars.hu/harmattan/view/az-egyetlen-hely/", "https://www.szaktars.hu/harmattan/view/az-egyetlen-hely/")</f>
        <v>https://www.szaktars.hu/harmattan/view/az-egyetlen-hely/</v>
      </c>
    </row>
    <row r="217" spans="1:6" x14ac:dyDescent="0.25">
      <c r="A217" t="s">
        <v>615</v>
      </c>
      <c r="B217" t="s">
        <v>616</v>
      </c>
      <c r="C217" t="s">
        <v>617</v>
      </c>
      <c r="D217">
        <v>2009</v>
      </c>
      <c r="E217" t="s">
        <v>353</v>
      </c>
      <c r="F217" t="str">
        <f>HYPERLINK("https://www.szaktars.hu/harmattan/view/a-kisertethajo-china-shipping/", "https://www.szaktars.hu/harmattan/view/a-kisertethajo-china-shipping/")</f>
        <v>https://www.szaktars.hu/harmattan/view/a-kisertethajo-china-shipping/</v>
      </c>
    </row>
    <row r="218" spans="1:6" x14ac:dyDescent="0.25">
      <c r="A218" t="s">
        <v>618</v>
      </c>
      <c r="B218" t="s">
        <v>619</v>
      </c>
      <c r="C218" t="s">
        <v>620</v>
      </c>
      <c r="D218">
        <v>2014</v>
      </c>
      <c r="E218" t="s">
        <v>353</v>
      </c>
      <c r="F218" t="str">
        <f>HYPERLINK("https://www.szaktars.hu/harmattan/view/egyiranyu-utlevel-egy-egyiptomi-kommunista-zsido-tortenete/", "https://www.szaktars.hu/harmattan/view/egyiranyu-utlevel-egy-egyiptomi-kommunista-zsido-tortenete/")</f>
        <v>https://www.szaktars.hu/harmattan/view/egyiranyu-utlevel-egy-egyiptomi-kommunista-zsido-tortenete/</v>
      </c>
    </row>
    <row r="219" spans="1:6" x14ac:dyDescent="0.25">
      <c r="A219" t="s">
        <v>621</v>
      </c>
      <c r="B219" t="s">
        <v>622</v>
      </c>
      <c r="C219" t="s">
        <v>623</v>
      </c>
      <c r="D219">
        <v>2013</v>
      </c>
      <c r="E219" t="s">
        <v>353</v>
      </c>
      <c r="F219" t="str">
        <f>HYPERLINK("https://www.szaktars.hu/harmattan/view/tanuljunk-meg-imadkozni-a-technika-koraban/", "https://www.szaktars.hu/harmattan/view/tanuljunk-meg-imadkozni-a-technika-koraban/")</f>
        <v>https://www.szaktars.hu/harmattan/view/tanuljunk-meg-imadkozni-a-technika-koraban/</v>
      </c>
    </row>
    <row r="220" spans="1:6" x14ac:dyDescent="0.25">
      <c r="A220" t="s">
        <v>624</v>
      </c>
      <c r="B220" t="s">
        <v>625</v>
      </c>
      <c r="C220" t="s">
        <v>626</v>
      </c>
      <c r="D220">
        <v>2009</v>
      </c>
      <c r="E220" t="s">
        <v>353</v>
      </c>
      <c r="F220" t="str">
        <f>HYPERLINK("https://www.szaktars.hu/harmattan/view/cirkusznak-bemutatja/", "https://www.szaktars.hu/harmattan/view/cirkusznak-bemutatja/")</f>
        <v>https://www.szaktars.hu/harmattan/view/cirkusznak-bemutatja/</v>
      </c>
    </row>
    <row r="221" spans="1:6" x14ac:dyDescent="0.25">
      <c r="A221" t="s">
        <v>627</v>
      </c>
      <c r="B221" t="s">
        <v>628</v>
      </c>
      <c r="C221" t="s">
        <v>629</v>
      </c>
      <c r="D221">
        <v>2008</v>
      </c>
      <c r="E221" t="s">
        <v>353</v>
      </c>
      <c r="F221" t="str">
        <f>HYPERLINK("https://www.szaktars.hu/harmattan/view/hercegkisasszony/", "https://www.szaktars.hu/harmattan/view/hercegkisasszony/")</f>
        <v>https://www.szaktars.hu/harmattan/view/hercegkisasszony/</v>
      </c>
    </row>
    <row r="222" spans="1:6" x14ac:dyDescent="0.25">
      <c r="A222" t="s">
        <v>630</v>
      </c>
      <c r="B222" t="s">
        <v>631</v>
      </c>
      <c r="C222" t="s">
        <v>632</v>
      </c>
      <c r="D222">
        <v>2015</v>
      </c>
      <c r="E222" t="s">
        <v>353</v>
      </c>
      <c r="F222" t="str">
        <f>HYPERLINK("https://www.szaktars.hu/harmattan/view/nappali-haz-ejjeli-haz/", "https://www.szaktars.hu/harmattan/view/nappali-haz-ejjeli-haz/")</f>
        <v>https://www.szaktars.hu/harmattan/view/nappali-haz-ejjeli-haz/</v>
      </c>
    </row>
    <row r="223" spans="1:6" x14ac:dyDescent="0.25">
      <c r="A223" t="s">
        <v>633</v>
      </c>
      <c r="B223" t="s">
        <v>631</v>
      </c>
      <c r="C223" t="s">
        <v>634</v>
      </c>
      <c r="D223">
        <v>2011</v>
      </c>
      <c r="E223" t="s">
        <v>353</v>
      </c>
      <c r="F223" t="str">
        <f>HYPERLINK("https://www.szaktars.hu/harmattan/view/oskor-es-mas-idok/", "https://www.szaktars.hu/harmattan/view/oskor-es-mas-idok/")</f>
        <v>https://www.szaktars.hu/harmattan/view/oskor-es-mas-idok/</v>
      </c>
    </row>
    <row r="224" spans="1:6" x14ac:dyDescent="0.25">
      <c r="A224" t="s">
        <v>635</v>
      </c>
      <c r="B224" t="s">
        <v>636</v>
      </c>
      <c r="C224" t="s">
        <v>637</v>
      </c>
      <c r="D224">
        <v>2016</v>
      </c>
      <c r="E224" t="s">
        <v>353</v>
      </c>
      <c r="F224" t="str">
        <f>HYPERLINK("https://www.szaktars.hu/harmattan/view/gyalogosvenyek-a-magasba/", "https://www.szaktars.hu/harmattan/view/gyalogosvenyek-a-magasba/")</f>
        <v>https://www.szaktars.hu/harmattan/view/gyalogosvenyek-a-magasba/</v>
      </c>
    </row>
    <row r="225" spans="1:6" x14ac:dyDescent="0.25">
      <c r="A225" t="s">
        <v>638</v>
      </c>
      <c r="B225" t="s">
        <v>639</v>
      </c>
      <c r="C225" t="s">
        <v>640</v>
      </c>
      <c r="D225">
        <v>2012</v>
      </c>
      <c r="E225" t="s">
        <v>353</v>
      </c>
      <c r="F225" t="str">
        <f>HYPERLINK("https://www.szaktars.hu/harmattan/view/melankolia-ezerrel-kortars-portugal-dramak/", "https://www.szaktars.hu/harmattan/view/melankolia-ezerrel-kortars-portugal-dramak/")</f>
        <v>https://www.szaktars.hu/harmattan/view/melankolia-ezerrel-kortars-portugal-dramak/</v>
      </c>
    </row>
    <row r="226" spans="1:6" x14ac:dyDescent="0.25">
      <c r="A226" t="s">
        <v>641</v>
      </c>
      <c r="B226" t="s">
        <v>642</v>
      </c>
      <c r="C226" t="s">
        <v>643</v>
      </c>
      <c r="D226">
        <v>2013</v>
      </c>
      <c r="E226" t="s">
        <v>353</v>
      </c>
      <c r="F226" t="str">
        <f>HYPERLINK("https://www.szaktars.hu/harmattan/view/a-legjobbjaink/", "https://www.szaktars.hu/harmattan/view/a-legjobbjaink/")</f>
        <v>https://www.szaktars.hu/harmattan/view/a-legjobbjaink/</v>
      </c>
    </row>
    <row r="227" spans="1:6" x14ac:dyDescent="0.25">
      <c r="A227" t="s">
        <v>644</v>
      </c>
      <c r="B227" t="s">
        <v>642</v>
      </c>
      <c r="C227" t="s">
        <v>645</v>
      </c>
      <c r="D227">
        <v>2015</v>
      </c>
      <c r="E227" t="s">
        <v>353</v>
      </c>
      <c r="F227" t="str">
        <f>HYPERLINK("https://www.szaktars.hu/harmattan/view/szavak-a-multbol/", "https://www.szaktars.hu/harmattan/view/szavak-a-multbol/")</f>
        <v>https://www.szaktars.hu/harmattan/view/szavak-a-multbol/</v>
      </c>
    </row>
    <row r="228" spans="1:6" x14ac:dyDescent="0.25">
      <c r="A228" t="s">
        <v>646</v>
      </c>
      <c r="B228" t="s">
        <v>647</v>
      </c>
      <c r="C228" t="s">
        <v>648</v>
      </c>
      <c r="D228">
        <v>2014</v>
      </c>
      <c r="E228" t="s">
        <v>353</v>
      </c>
      <c r="F228" t="str">
        <f>HYPERLINK("https://www.szaktars.hu/harmattan/view/nyitott-ajtok/", "https://www.szaktars.hu/harmattan/view/nyitott-ajtok/")</f>
        <v>https://www.szaktars.hu/harmattan/view/nyitott-ajtok/</v>
      </c>
    </row>
    <row r="229" spans="1:6" x14ac:dyDescent="0.25">
      <c r="A229" t="s">
        <v>649</v>
      </c>
      <c r="B229" t="s">
        <v>650</v>
      </c>
      <c r="C229" t="s">
        <v>651</v>
      </c>
      <c r="D229">
        <v>2011</v>
      </c>
      <c r="E229" t="s">
        <v>353</v>
      </c>
      <c r="F229" t="str">
        <f>HYPERLINK("https://www.szaktars.hu/harmattan/view/szuletett-szovjetunioban/", "https://www.szaktars.hu/harmattan/view/szuletett-szovjetunioban/")</f>
        <v>https://www.szaktars.hu/harmattan/view/szuletett-szovjetunioban/</v>
      </c>
    </row>
    <row r="230" spans="1:6" x14ac:dyDescent="0.25">
      <c r="A230" t="s">
        <v>652</v>
      </c>
      <c r="B230" t="s">
        <v>653</v>
      </c>
      <c r="C230" t="s">
        <v>654</v>
      </c>
      <c r="D230">
        <v>2013</v>
      </c>
      <c r="E230" t="s">
        <v>353</v>
      </c>
      <c r="F230" t="str">
        <f>HYPERLINK("https://www.szaktars.hu/harmattan/view/a-megfoghato-ido/", "https://www.szaktars.hu/harmattan/view/a-megfoghato-ido/")</f>
        <v>https://www.szaktars.hu/harmattan/view/a-megfoghato-ido/</v>
      </c>
    </row>
    <row r="231" spans="1:6" x14ac:dyDescent="0.25">
      <c r="A231" t="s">
        <v>655</v>
      </c>
      <c r="B231" t="s">
        <v>656</v>
      </c>
      <c r="C231" t="s">
        <v>657</v>
      </c>
      <c r="D231">
        <v>2014</v>
      </c>
      <c r="E231" t="s">
        <v>353</v>
      </c>
      <c r="F231" t="str">
        <f>HYPERLINK("https://www.szaktars.hu/harmattan/view/mallorcai-udvarhaz-vagy-a-babaszoba/", "https://www.szaktars.hu/harmattan/view/mallorcai-udvarhaz-vagy-a-babaszoba/")</f>
        <v>https://www.szaktars.hu/harmattan/view/mallorcai-udvarhaz-vagy-a-babaszoba/</v>
      </c>
    </row>
    <row r="232" spans="1:6" x14ac:dyDescent="0.25">
      <c r="A232" t="s">
        <v>658</v>
      </c>
      <c r="B232" t="s">
        <v>659</v>
      </c>
      <c r="C232" t="s">
        <v>660</v>
      </c>
      <c r="D232">
        <v>2009</v>
      </c>
      <c r="E232" t="s">
        <v>353</v>
      </c>
      <c r="F232" t="str">
        <f>HYPERLINK("https://www.szaktars.hu/harmattan/view/selyem-ollo-marina-avagy-az-eletrajzrol/", "https://www.szaktars.hu/harmattan/view/selyem-ollo-marina-avagy-az-eletrajzrol/")</f>
        <v>https://www.szaktars.hu/harmattan/view/selyem-ollo-marina-avagy-az-eletrajzrol/</v>
      </c>
    </row>
    <row r="233" spans="1:6" x14ac:dyDescent="0.25">
      <c r="A233" t="s">
        <v>661</v>
      </c>
      <c r="B233" t="s">
        <v>662</v>
      </c>
      <c r="C233" t="s">
        <v>663</v>
      </c>
      <c r="D233">
        <v>2015</v>
      </c>
      <c r="E233" t="s">
        <v>353</v>
      </c>
      <c r="F233" t="str">
        <f>HYPERLINK("https://www.szaktars.hu/harmattan/view/ahol-egykor-jartunk/", "https://www.szaktars.hu/harmattan/view/ahol-egykor-jartunk/")</f>
        <v>https://www.szaktars.hu/harmattan/view/ahol-egykor-jartunk/</v>
      </c>
    </row>
    <row r="234" spans="1:6" x14ac:dyDescent="0.25">
      <c r="A234" t="s">
        <v>664</v>
      </c>
      <c r="B234" t="s">
        <v>665</v>
      </c>
      <c r="C234" t="s">
        <v>666</v>
      </c>
      <c r="D234">
        <v>2013</v>
      </c>
      <c r="E234" t="s">
        <v>353</v>
      </c>
      <c r="F234" t="str">
        <f>HYPERLINK("https://www.szaktars.hu/harmattan/view/mindig-mas-strandra-vagyik/", "https://www.szaktars.hu/harmattan/view/mindig-mas-strandra-vagyik/")</f>
        <v>https://www.szaktars.hu/harmattan/view/mindig-mas-strandra-vagyik/</v>
      </c>
    </row>
    <row r="235" spans="1:6" x14ac:dyDescent="0.25">
      <c r="A235" t="s">
        <v>667</v>
      </c>
      <c r="B235" t="s">
        <v>668</v>
      </c>
      <c r="C235" t="s">
        <v>669</v>
      </c>
      <c r="D235">
        <v>2014</v>
      </c>
      <c r="E235" t="s">
        <v>353</v>
      </c>
      <c r="F235" t="str">
        <f>HYPERLINK("https://www.szaktars.hu/harmattan/view/szomoru-vasarnap-avagy-a-semmi-agan/", "https://www.szaktars.hu/harmattan/view/szomoru-vasarnap-avagy-a-semmi-agan/")</f>
        <v>https://www.szaktars.hu/harmattan/view/szomoru-vasarnap-avagy-a-semmi-agan/</v>
      </c>
    </row>
    <row r="236" spans="1:6" x14ac:dyDescent="0.25">
      <c r="A236" t="s">
        <v>670</v>
      </c>
      <c r="B236" t="s">
        <v>394</v>
      </c>
      <c r="C236" t="s">
        <v>671</v>
      </c>
      <c r="D236">
        <v>2009</v>
      </c>
      <c r="E236" t="s">
        <v>353</v>
      </c>
      <c r="F236" t="str">
        <f>HYPERLINK("https://www.szaktars.hu/harmattan/view/santaiskola/", "https://www.szaktars.hu/harmattan/view/santaiskola/")</f>
        <v>https://www.szaktars.hu/harmattan/view/santaiskola/</v>
      </c>
    </row>
    <row r="237" spans="1:6" x14ac:dyDescent="0.25">
      <c r="A237" s="1" t="s">
        <v>672</v>
      </c>
      <c r="B237" t="s">
        <v>673</v>
      </c>
      <c r="C237" t="s">
        <v>674</v>
      </c>
      <c r="D237">
        <v>2008</v>
      </c>
      <c r="E237" t="s">
        <v>353</v>
      </c>
      <c r="F237" t="str">
        <f>HYPERLINK("https://www.szaktars.hu/harmattan/view/a-fajdalom-miniszteriuma/", "https://www.szaktars.hu/harmattan/view/a-fajdalom-miniszteriuma/")</f>
        <v>https://www.szaktars.hu/harmattan/view/a-fajdalom-miniszteriuma/</v>
      </c>
    </row>
    <row r="238" spans="1:6" x14ac:dyDescent="0.25">
      <c r="A238" t="s">
        <v>675</v>
      </c>
      <c r="B238" t="s">
        <v>676</v>
      </c>
      <c r="C238" t="s">
        <v>677</v>
      </c>
      <c r="D238">
        <v>2014</v>
      </c>
      <c r="E238" t="s">
        <v>353</v>
      </c>
      <c r="F238" t="str">
        <f>HYPERLINK("https://www.szaktars.hu/harmattan/view/mi-hullamok/", "https://www.szaktars.hu/harmattan/view/mi-hullamok/")</f>
        <v>https://www.szaktars.hu/harmattan/view/mi-hullamok/</v>
      </c>
    </row>
    <row r="239" spans="1:6" x14ac:dyDescent="0.25">
      <c r="A239" t="s">
        <v>678</v>
      </c>
      <c r="B239" t="s">
        <v>13</v>
      </c>
      <c r="C239" t="s">
        <v>679</v>
      </c>
      <c r="D239">
        <v>2006</v>
      </c>
      <c r="E239" t="s">
        <v>680</v>
      </c>
      <c r="F239" t="str">
        <f>HYPERLINK("https://www.szaktars.hu/harmattan/view/utolso-leheletem/", "https://www.szaktars.hu/harmattan/view/utolso-leheletem/")</f>
        <v>https://www.szaktars.hu/harmattan/view/utolso-leheletem/</v>
      </c>
    </row>
    <row r="240" spans="1:6" x14ac:dyDescent="0.25">
      <c r="A240" t="s">
        <v>681</v>
      </c>
      <c r="B240" t="s">
        <v>120</v>
      </c>
      <c r="C240" t="s">
        <v>682</v>
      </c>
      <c r="D240">
        <v>2010</v>
      </c>
      <c r="E240" t="s">
        <v>680</v>
      </c>
      <c r="F240" t="str">
        <f>HYPERLINK("https://www.szaktars.hu/harmattan/view/almodozok-es-megszallottak-bevezetes-a-magyar-filmtortenetbe/", "https://www.szaktars.hu/harmattan/view/almodozok-es-megszallottak-bevezetes-a-magyar-filmtortenetbe/")</f>
        <v>https://www.szaktars.hu/harmattan/view/almodozok-es-megszallottak-bevezetes-a-magyar-filmtortenetbe/</v>
      </c>
    </row>
    <row r="241" spans="1:6" x14ac:dyDescent="0.25">
      <c r="A241" t="s">
        <v>683</v>
      </c>
      <c r="B241" t="s">
        <v>684</v>
      </c>
      <c r="C241" t="s">
        <v>685</v>
      </c>
      <c r="D241">
        <v>2013</v>
      </c>
      <c r="E241" t="s">
        <v>680</v>
      </c>
      <c r="F241" t="str">
        <f>HYPERLINK("https://www.szaktars.hu/harmattan/view/a-felelem-kepei-fritz-lang-nemet-filmjeinek-latvanyvilaga/", "https://www.szaktars.hu/harmattan/view/a-felelem-kepei-fritz-lang-nemet-filmjeinek-latvanyvilaga/")</f>
        <v>https://www.szaktars.hu/harmattan/view/a-felelem-kepei-fritz-lang-nemet-filmjeinek-latvanyvilaga/</v>
      </c>
    </row>
    <row r="242" spans="1:6" x14ac:dyDescent="0.25">
      <c r="A242" t="s">
        <v>686</v>
      </c>
      <c r="B242" t="s">
        <v>687</v>
      </c>
      <c r="C242" t="s">
        <v>688</v>
      </c>
      <c r="D242">
        <v>2016</v>
      </c>
      <c r="E242" t="s">
        <v>680</v>
      </c>
      <c r="F242" t="str">
        <f>HYPERLINK("https://www.szaktars.hu/harmattan/view/egyedul-szembejovet-dobai-peter-es-muveszete/", "https://www.szaktars.hu/harmattan/view/egyedul-szembejovet-dobai-peter-es-muveszete/")</f>
        <v>https://www.szaktars.hu/harmattan/view/egyedul-szembejovet-dobai-peter-es-muveszete/</v>
      </c>
    </row>
    <row r="243" spans="1:6" x14ac:dyDescent="0.25">
      <c r="A243" t="s">
        <v>689</v>
      </c>
      <c r="B243" t="s">
        <v>690</v>
      </c>
      <c r="C243" t="s">
        <v>691</v>
      </c>
      <c r="D243">
        <v>2011</v>
      </c>
      <c r="E243" t="s">
        <v>680</v>
      </c>
      <c r="F243" t="str">
        <f>HYPERLINK("https://www.szaktars.hu/harmattan/view/elbeszelt-multjaink-a-magyar-tortenelmi-dokumentumfilm-utja/", "https://www.szaktars.hu/harmattan/view/elbeszelt-multjaink-a-magyar-tortenelmi-dokumentumfilm-utja/")</f>
        <v>https://www.szaktars.hu/harmattan/view/elbeszelt-multjaink-a-magyar-tortenelmi-dokumentumfilm-utja/</v>
      </c>
    </row>
    <row r="244" spans="1:6" x14ac:dyDescent="0.25">
      <c r="A244" t="s">
        <v>692</v>
      </c>
      <c r="B244" t="s">
        <v>693</v>
      </c>
      <c r="C244" t="s">
        <v>694</v>
      </c>
      <c r="D244">
        <v>2012</v>
      </c>
      <c r="E244" t="s">
        <v>680</v>
      </c>
      <c r="F244" t="str">
        <f>HYPERLINK("https://www.szaktars.hu/harmattan/view/a-neprajzi-es-az-antropologiai-filmkeszites-torteneti-elmeleti-es-gyakorlati-peldak/", "https://www.szaktars.hu/harmattan/view/a-neprajzi-es-az-antropologiai-filmkeszites-torteneti-elmeleti-es-gyakorlati-peldak/")</f>
        <v>https://www.szaktars.hu/harmattan/view/a-neprajzi-es-az-antropologiai-filmkeszites-torteneti-elmeleti-es-gyakorlati-peldak/</v>
      </c>
    </row>
    <row r="245" spans="1:6" x14ac:dyDescent="0.25">
      <c r="A245" t="s">
        <v>695</v>
      </c>
      <c r="B245" t="s">
        <v>696</v>
      </c>
      <c r="C245" t="s">
        <v>697</v>
      </c>
      <c r="D245">
        <v>2011</v>
      </c>
      <c r="E245" t="s">
        <v>680</v>
      </c>
      <c r="F245" t="str">
        <f>HYPERLINK("https://www.szaktars.hu/harmattan/view/az-1910-es-evek-orosz-nemafilm-kulturaja-a-forradalom-elotti-oroszorszag-tulsagosan-is-emberi-tragikomediaja/", "https://www.szaktars.hu/harmattan/view/az-1910-es-evek-orosz-nemafilm-kulturaja-a-forradalom-elotti-oroszorszag-tulsagosan-is-emberi-tragikomediaja/")</f>
        <v>https://www.szaktars.hu/harmattan/view/az-1910-es-evek-orosz-nemafilm-kulturaja-a-forradalom-elotti-oroszorszag-tulsagosan-is-emberi-tragikomediaja/</v>
      </c>
    </row>
    <row r="246" spans="1:6" x14ac:dyDescent="0.25">
      <c r="A246" t="s">
        <v>698</v>
      </c>
      <c r="B246" t="s">
        <v>699</v>
      </c>
      <c r="C246" t="s">
        <v>700</v>
      </c>
      <c r="D246">
        <v>2016</v>
      </c>
      <c r="E246" t="s">
        <v>680</v>
      </c>
      <c r="F246" t="str">
        <f>HYPERLINK("https://www.szaktars.hu/harmattan/view/filmrendszervaltasok-a-magyar-jatekfilm-intezmenyeinek-atalakulasa-1990-2010/", "https://www.szaktars.hu/harmattan/view/filmrendszervaltasok-a-magyar-jatekfilm-intezmenyeinek-atalakulasa-1990-2010/")</f>
        <v>https://www.szaktars.hu/harmattan/view/filmrendszervaltasok-a-magyar-jatekfilm-intezmenyeinek-atalakulasa-1990-2010/</v>
      </c>
    </row>
    <row r="247" spans="1:6" x14ac:dyDescent="0.25">
      <c r="A247" t="s">
        <v>701</v>
      </c>
      <c r="B247" t="s">
        <v>702</v>
      </c>
      <c r="C247" t="s">
        <v>703</v>
      </c>
      <c r="D247">
        <v>2013</v>
      </c>
      <c r="E247" t="s">
        <v>680</v>
      </c>
      <c r="F247" t="str">
        <f>HYPERLINK("https://www.szaktars.hu/harmattan/view/final-cut-a-tankonyv/", "https://www.szaktars.hu/harmattan/view/final-cut-a-tankonyv/")</f>
        <v>https://www.szaktars.hu/harmattan/view/final-cut-a-tankonyv/</v>
      </c>
    </row>
    <row r="248" spans="1:6" x14ac:dyDescent="0.25">
      <c r="A248" t="s">
        <v>704</v>
      </c>
      <c r="B248" t="s">
        <v>705</v>
      </c>
      <c r="C248" t="s">
        <v>706</v>
      </c>
      <c r="D248">
        <v>2010</v>
      </c>
      <c r="E248" t="s">
        <v>707</v>
      </c>
      <c r="F248" t="str">
        <f>HYPERLINK("https://www.szaktars.hu/harmattan/view/a-csend-alakzatai-a-festeszetben-francia-festeszetelmelet-a-xvii-xviii-szazadban/", "https://www.szaktars.hu/harmattan/view/a-csend-alakzatai-a-festeszetben-francia-festeszetelmelet-a-xvii-xviii-szazadban/")</f>
        <v>https://www.szaktars.hu/harmattan/view/a-csend-alakzatai-a-festeszetben-francia-festeszetelmelet-a-xvii-xviii-szazadban/</v>
      </c>
    </row>
    <row r="249" spans="1:6" x14ac:dyDescent="0.25">
      <c r="A249" t="s">
        <v>708</v>
      </c>
      <c r="B249" t="s">
        <v>709</v>
      </c>
      <c r="C249" t="s">
        <v>710</v>
      </c>
      <c r="D249">
        <v>2015</v>
      </c>
      <c r="E249" t="s">
        <v>707</v>
      </c>
      <c r="F249" t="str">
        <f>HYPERLINK("https://www.szaktars.hu/harmattan/view/kiallito-muveszek-kultusz-es-karrier-a-modern-muveszet-rendszereben/", "https://www.szaktars.hu/harmattan/view/kiallito-muveszek-kultusz-es-karrier-a-modern-muveszet-rendszereben/")</f>
        <v>https://www.szaktars.hu/harmattan/view/kiallito-muveszek-kultusz-es-karrier-a-modern-muveszet-rendszereben/</v>
      </c>
    </row>
    <row r="250" spans="1:6" x14ac:dyDescent="0.25">
      <c r="A250" t="s">
        <v>711</v>
      </c>
      <c r="B250" t="s">
        <v>712</v>
      </c>
      <c r="C250" t="s">
        <v>713</v>
      </c>
      <c r="D250">
        <v>2016</v>
      </c>
      <c r="E250" t="s">
        <v>707</v>
      </c>
      <c r="F250" t="str">
        <f>HYPERLINK("https://www.szaktars.hu/harmattan/view/hollan-sandor-harminc-ev-elmelkedesei-1985-2015/", "https://www.szaktars.hu/harmattan/view/hollan-sandor-harminc-ev-elmelkedesei-1985-2015/")</f>
        <v>https://www.szaktars.hu/harmattan/view/hollan-sandor-harminc-ev-elmelkedesei-1985-2015/</v>
      </c>
    </row>
    <row r="251" spans="1:6" x14ac:dyDescent="0.25">
      <c r="A251" t="s">
        <v>714</v>
      </c>
      <c r="B251" t="s">
        <v>715</v>
      </c>
      <c r="C251" t="s">
        <v>716</v>
      </c>
      <c r="D251">
        <v>2009</v>
      </c>
      <c r="E251" t="s">
        <v>707</v>
      </c>
      <c r="F251" t="str">
        <f>HYPERLINK("https://www.szaktars.hu/harmattan/view/a-fenseges-es-a-rejtozkodo-jelenlet-louis-marin-reprezentacioelmelete/", "https://www.szaktars.hu/harmattan/view/a-fenseges-es-a-rejtozkodo-jelenlet-louis-marin-reprezentacioelmelete/")</f>
        <v>https://www.szaktars.hu/harmattan/view/a-fenseges-es-a-rejtozkodo-jelenlet-louis-marin-reprezentacioelmelete/</v>
      </c>
    </row>
    <row r="252" spans="1:6" x14ac:dyDescent="0.25">
      <c r="A252" t="s">
        <v>717</v>
      </c>
      <c r="B252" t="s">
        <v>715</v>
      </c>
      <c r="C252" t="s">
        <v>718</v>
      </c>
      <c r="D252">
        <v>2010</v>
      </c>
      <c r="E252" t="s">
        <v>707</v>
      </c>
      <c r="F252" t="str">
        <f>HYPERLINK("https://www.szaktars.hu/harmattan/view/muveszettapasztalatok-fenomenologiai-megkozelitesek/", "https://www.szaktars.hu/harmattan/view/muveszettapasztalatok-fenomenologiai-megkozelitesek/")</f>
        <v>https://www.szaktars.hu/harmattan/view/muveszettapasztalatok-fenomenologiai-megkozelitesek/</v>
      </c>
    </row>
    <row r="253" spans="1:6" x14ac:dyDescent="0.25">
      <c r="A253" t="s">
        <v>719</v>
      </c>
      <c r="B253" t="s">
        <v>720</v>
      </c>
      <c r="C253" t="s">
        <v>721</v>
      </c>
      <c r="D253">
        <v>2016</v>
      </c>
      <c r="E253" t="s">
        <v>707</v>
      </c>
      <c r="F253" t="str">
        <f>HYPERLINK("https://www.szaktars.hu/harmattan/view/muzeumania-egy-kulturalis-elmenygyar-europai-modelljei/", "https://www.szaktars.hu/harmattan/view/muzeumania-egy-kulturalis-elmenygyar-europai-modelljei/")</f>
        <v>https://www.szaktars.hu/harmattan/view/muzeumania-egy-kulturalis-elmenygyar-europai-modelljei/</v>
      </c>
    </row>
    <row r="254" spans="1:6" x14ac:dyDescent="0.25">
      <c r="A254" t="s">
        <v>722</v>
      </c>
      <c r="B254" t="s">
        <v>723</v>
      </c>
      <c r="C254" t="s">
        <v>724</v>
      </c>
      <c r="D254">
        <v>2014</v>
      </c>
      <c r="E254" t="s">
        <v>707</v>
      </c>
      <c r="F254" t="str">
        <f>HYPERLINK("https://www.szaktars.hu/harmattan/view/megbamulni-es-megbamultatni-viselettorteneti-tanulmanyok/", "https://www.szaktars.hu/harmattan/view/megbamulni-es-megbamultatni-viselettorteneti-tanulmanyok/")</f>
        <v>https://www.szaktars.hu/harmattan/view/megbamulni-es-megbamultatni-viselettorteneti-tanulmanyok/</v>
      </c>
    </row>
    <row r="255" spans="1:6" x14ac:dyDescent="0.25">
      <c r="A255" t="s">
        <v>725</v>
      </c>
      <c r="B255" t="s">
        <v>726</v>
      </c>
      <c r="C255" t="s">
        <v>727</v>
      </c>
      <c r="D255">
        <v>2012</v>
      </c>
      <c r="E255" t="s">
        <v>707</v>
      </c>
      <c r="F255" t="str">
        <f>HYPERLINK("https://www.szaktars.hu/harmattan/view/anna-stein-belso-utak-kepei/", "https://www.szaktars.hu/harmattan/view/anna-stein-belso-utak-kepei/")</f>
        <v>https://www.szaktars.hu/harmattan/view/anna-stein-belso-utak-kepei/</v>
      </c>
    </row>
    <row r="256" spans="1:6" x14ac:dyDescent="0.25">
      <c r="A256" t="s">
        <v>728</v>
      </c>
      <c r="B256" t="s">
        <v>729</v>
      </c>
      <c r="C256" t="s">
        <v>730</v>
      </c>
      <c r="D256">
        <v>2014</v>
      </c>
      <c r="E256" t="s">
        <v>707</v>
      </c>
      <c r="F256" t="str">
        <f>HYPERLINK("https://www.szaktars.hu/harmattan/view/a-kepzomuveszet-mostohagyermeke-a-magyar-muveszgrafika-kezdetei-1890-1914/", "https://www.szaktars.hu/harmattan/view/a-kepzomuveszet-mostohagyermeke-a-magyar-muveszgrafika-kezdetei-1890-1914/")</f>
        <v>https://www.szaktars.hu/harmattan/view/a-kepzomuveszet-mostohagyermeke-a-magyar-muveszgrafika-kezdetei-1890-1914/</v>
      </c>
    </row>
    <row r="257" spans="1:6" x14ac:dyDescent="0.25">
      <c r="A257" t="s">
        <v>731</v>
      </c>
      <c r="B257" t="s">
        <v>732</v>
      </c>
      <c r="C257" t="s">
        <v>733</v>
      </c>
      <c r="D257">
        <v>2005</v>
      </c>
      <c r="E257" t="s">
        <v>707</v>
      </c>
      <c r="F257" t="str">
        <f>HYPERLINK("https://www.szaktars.hu/harmattan/view/tour-de-paris/", "https://www.szaktars.hu/harmattan/view/tour-de-paris/")</f>
        <v>https://www.szaktars.hu/harmattan/view/tour-de-paris/</v>
      </c>
    </row>
    <row r="258" spans="1:6" x14ac:dyDescent="0.25">
      <c r="A258" t="s">
        <v>734</v>
      </c>
      <c r="B258" t="s">
        <v>735</v>
      </c>
      <c r="C258" t="s">
        <v>736</v>
      </c>
      <c r="D258">
        <v>2017</v>
      </c>
      <c r="E258" t="s">
        <v>707</v>
      </c>
      <c r="F258" t="str">
        <f>HYPERLINK("https://www.szaktars.hu/harmattan/view/mai-cedrusok-kortarsunk-csontvary/", "https://www.szaktars.hu/harmattan/view/mai-cedrusok-kortarsunk-csontvary/")</f>
        <v>https://www.szaktars.hu/harmattan/view/mai-cedrusok-kortarsunk-csontvary/</v>
      </c>
    </row>
    <row r="259" spans="1:6" x14ac:dyDescent="0.25">
      <c r="A259" t="s">
        <v>737</v>
      </c>
      <c r="B259" t="s">
        <v>738</v>
      </c>
      <c r="C259" t="s">
        <v>739</v>
      </c>
      <c r="D259">
        <v>2009</v>
      </c>
      <c r="E259" t="s">
        <v>707</v>
      </c>
      <c r="F259" t="str">
        <f>HYPERLINK("https://www.szaktars.hu/harmattan/view/a-dobozba-zart-gondolat-macel-duchamp/", "https://www.szaktars.hu/harmattan/view/a-dobozba-zart-gondolat-macel-duchamp/")</f>
        <v>https://www.szaktars.hu/harmattan/view/a-dobozba-zart-gondolat-macel-duchamp/</v>
      </c>
    </row>
    <row r="260" spans="1:6" x14ac:dyDescent="0.25">
      <c r="A260" t="s">
        <v>740</v>
      </c>
      <c r="B260" t="s">
        <v>741</v>
      </c>
      <c r="C260" t="s">
        <v>742</v>
      </c>
      <c r="D260">
        <v>2013</v>
      </c>
      <c r="E260" t="s">
        <v>707</v>
      </c>
      <c r="F260" t="str">
        <f>HYPERLINK("https://www.szaktars.hu/harmattan/view/szentandrassy-istvan/", "https://www.szaktars.hu/harmattan/view/szentandrassy-istvan/")</f>
        <v>https://www.szaktars.hu/harmattan/view/szentandrassy-istvan/</v>
      </c>
    </row>
    <row r="261" spans="1:6" x14ac:dyDescent="0.25">
      <c r="A261" t="s">
        <v>743</v>
      </c>
      <c r="B261" t="s">
        <v>744</v>
      </c>
      <c r="C261" t="s">
        <v>745</v>
      </c>
      <c r="D261">
        <v>2006</v>
      </c>
      <c r="E261" t="s">
        <v>707</v>
      </c>
      <c r="F261" t="str">
        <f>HYPERLINK("https://www.szaktars.hu/harmattan/view/a-kep-a-mediamuveszet-koraban/", "https://www.szaktars.hu/harmattan/view/a-kep-a-mediamuveszet-koraban/")</f>
        <v>https://www.szaktars.hu/harmattan/view/a-kep-a-mediamuveszet-koraban/</v>
      </c>
    </row>
    <row r="262" spans="1:6" x14ac:dyDescent="0.25">
      <c r="A262" t="s">
        <v>746</v>
      </c>
      <c r="B262" t="s">
        <v>747</v>
      </c>
      <c r="C262" t="s">
        <v>748</v>
      </c>
      <c r="D262">
        <v>2016</v>
      </c>
      <c r="E262" t="s">
        <v>707</v>
      </c>
      <c r="F262" t="str">
        <f>HYPERLINK("https://www.szaktars.hu/harmattan/view/mutargyak-a-boncteremben-tanulmanyok-az-orvoslas-es-a-kepzomuveszet-targykorebol/", "https://www.szaktars.hu/harmattan/view/mutargyak-a-boncteremben-tanulmanyok-az-orvoslas-es-a-kepzomuveszet-targykorebol/")</f>
        <v>https://www.szaktars.hu/harmattan/view/mutargyak-a-boncteremben-tanulmanyok-az-orvoslas-es-a-kepzomuveszet-targykorebol/</v>
      </c>
    </row>
    <row r="263" spans="1:6" x14ac:dyDescent="0.25">
      <c r="A263" t="s">
        <v>749</v>
      </c>
      <c r="B263" t="s">
        <v>750</v>
      </c>
      <c r="C263" t="s">
        <v>751</v>
      </c>
      <c r="D263">
        <v>2013</v>
      </c>
      <c r="E263" t="s">
        <v>707</v>
      </c>
      <c r="F263" t="str">
        <f>HYPERLINK("https://www.szaktars.hu/harmattan/view/nacionalizmus-es-modernizmus-ernst-lajos-gyujtemenye-es-az-ernst-muzeum/", "https://www.szaktars.hu/harmattan/view/nacionalizmus-es-modernizmus-ernst-lajos-gyujtemenye-es-az-ernst-muzeum/")</f>
        <v>https://www.szaktars.hu/harmattan/view/nacionalizmus-es-modernizmus-ernst-lajos-gyujtemenye-es-az-ernst-muzeum/</v>
      </c>
    </row>
    <row r="264" spans="1:6" x14ac:dyDescent="0.25">
      <c r="A264" t="s">
        <v>752</v>
      </c>
      <c r="B264" t="s">
        <v>753</v>
      </c>
      <c r="C264" t="s">
        <v>754</v>
      </c>
      <c r="D264">
        <v>2016</v>
      </c>
      <c r="E264" t="s">
        <v>707</v>
      </c>
      <c r="F264" t="str">
        <f>HYPERLINK("https://www.szaktars.hu/harmattan/view/vallas-es-muveszet/", "https://www.szaktars.hu/harmattan/view/vallas-es-muveszet/")</f>
        <v>https://www.szaktars.hu/harmattan/view/vallas-es-muveszet/</v>
      </c>
    </row>
    <row r="265" spans="1:6" x14ac:dyDescent="0.25">
      <c r="A265" t="s">
        <v>755</v>
      </c>
      <c r="B265" t="s">
        <v>756</v>
      </c>
      <c r="C265" t="s">
        <v>757</v>
      </c>
      <c r="D265">
        <v>2009</v>
      </c>
      <c r="E265" t="s">
        <v>707</v>
      </c>
      <c r="F265" t="str">
        <f>HYPERLINK("https://www.szaktars.hu/harmattan/view/egyetlen-dimenzionk-a-jelen-szalay-lajos-festo-es-rajzolomuvesz-levelezesebol/", "https://www.szaktars.hu/harmattan/view/egyetlen-dimenzionk-a-jelen-szalay-lajos-festo-es-rajzolomuvesz-levelezesebol/")</f>
        <v>https://www.szaktars.hu/harmattan/view/egyetlen-dimenzionk-a-jelen-szalay-lajos-festo-es-rajzolomuvesz-levelezesebol/</v>
      </c>
    </row>
    <row r="266" spans="1:6" x14ac:dyDescent="0.25">
      <c r="A266" t="s">
        <v>758</v>
      </c>
      <c r="B266" t="s">
        <v>756</v>
      </c>
      <c r="C266" t="s">
        <v>759</v>
      </c>
      <c r="D266">
        <v>2009</v>
      </c>
      <c r="E266" t="s">
        <v>707</v>
      </c>
      <c r="F266" t="str">
        <f>HYPERLINK("https://www.szaktars.hu/harmattan/view/a-kecskemeti-muvesztelep-dokumentumai-1909-1919/", "https://www.szaktars.hu/harmattan/view/a-kecskemeti-muvesztelep-dokumentumai-1909-1919/")</f>
        <v>https://www.szaktars.hu/harmattan/view/a-kecskemeti-muvesztelep-dokumentumai-1909-1919/</v>
      </c>
    </row>
    <row r="267" spans="1:6" x14ac:dyDescent="0.25">
      <c r="A267" t="s">
        <v>760</v>
      </c>
      <c r="B267" t="s">
        <v>761</v>
      </c>
      <c r="C267" t="s">
        <v>762</v>
      </c>
      <c r="D267">
        <v>2006</v>
      </c>
      <c r="E267" t="s">
        <v>707</v>
      </c>
      <c r="F267" t="str">
        <f>HYPERLINK("https://www.szaktars.hu/harmattan/view/1956-keptara/", "https://www.szaktars.hu/harmattan/view/1956-keptara/")</f>
        <v>https://www.szaktars.hu/harmattan/view/1956-keptara/</v>
      </c>
    </row>
    <row r="268" spans="1:6" x14ac:dyDescent="0.25">
      <c r="A268" t="s">
        <v>763</v>
      </c>
      <c r="B268" t="s">
        <v>764</v>
      </c>
      <c r="C268" t="s">
        <v>765</v>
      </c>
      <c r="D268">
        <v>2016</v>
      </c>
      <c r="E268" t="s">
        <v>707</v>
      </c>
      <c r="F268" t="str">
        <f>HYPERLINK("https://www.szaktars.hu/harmattan/view/a-hodmezovasarhelyi-muveszcsoport-1900-1914/", "https://www.szaktars.hu/harmattan/view/a-hodmezovasarhelyi-muveszcsoport-1900-1914/")</f>
        <v>https://www.szaktars.hu/harmattan/view/a-hodmezovasarhelyi-muveszcsoport-1900-1914/</v>
      </c>
    </row>
    <row r="269" spans="1:6" x14ac:dyDescent="0.25">
      <c r="A269" t="s">
        <v>766</v>
      </c>
      <c r="B269" t="s">
        <v>767</v>
      </c>
      <c r="C269" t="s">
        <v>768</v>
      </c>
      <c r="D269">
        <v>2012</v>
      </c>
      <c r="E269" t="s">
        <v>707</v>
      </c>
      <c r="F269" t="str">
        <f>HYPERLINK("https://www.szaktars.hu/harmattan/view/az-illusztracio-a-teoriaban-a-kritikaban-az-oktatasban/", "https://www.szaktars.hu/harmattan/view/az-illusztracio-a-teoriaban-a-kritikaban-az-oktatasban/")</f>
        <v>https://www.szaktars.hu/harmattan/view/az-illusztracio-a-teoriaban-a-kritikaban-az-oktatasban/</v>
      </c>
    </row>
    <row r="270" spans="1:6" x14ac:dyDescent="0.25">
      <c r="A270" t="s">
        <v>769</v>
      </c>
      <c r="B270" t="s">
        <v>767</v>
      </c>
      <c r="C270" t="s">
        <v>770</v>
      </c>
      <c r="D270">
        <v>2007</v>
      </c>
      <c r="E270" t="s">
        <v>707</v>
      </c>
      <c r="F270" t="str">
        <f>HYPERLINK("https://www.szaktars.hu/harmattan/view/kalitka-es-korona-kass-janos-illusztracioirol/", "https://www.szaktars.hu/harmattan/view/kalitka-es-korona-kass-janos-illusztracioirol/")</f>
        <v>https://www.szaktars.hu/harmattan/view/kalitka-es-korona-kass-janos-illusztracioirol/</v>
      </c>
    </row>
    <row r="271" spans="1:6" x14ac:dyDescent="0.25">
      <c r="A271" t="s">
        <v>771</v>
      </c>
      <c r="B271" t="s">
        <v>772</v>
      </c>
      <c r="C271" t="s">
        <v>773</v>
      </c>
      <c r="D271">
        <v>2015</v>
      </c>
      <c r="E271" t="s">
        <v>707</v>
      </c>
      <c r="F271" t="str">
        <f>HYPERLINK("https://www.szaktars.hu/harmattan/view/folfujt-pipere-es-koltoi-mamor-romantika-es-muveszeti-kozizles-a-reformkori-magyarorszagon/", "https://www.szaktars.hu/harmattan/view/folfujt-pipere-es-koltoi-mamor-romantika-es-muveszeti-kozizles-a-reformkori-magyarorszagon/")</f>
        <v>https://www.szaktars.hu/harmattan/view/folfujt-pipere-es-koltoi-mamor-romantika-es-muveszeti-kozizles-a-reformkori-magyarorszagon/</v>
      </c>
    </row>
    <row r="272" spans="1:6" x14ac:dyDescent="0.25">
      <c r="A272" t="s">
        <v>774</v>
      </c>
      <c r="B272" t="s">
        <v>775</v>
      </c>
      <c r="C272" t="s">
        <v>776</v>
      </c>
      <c r="D272">
        <v>2011</v>
      </c>
      <c r="E272" t="s">
        <v>707</v>
      </c>
      <c r="F272" t="str">
        <f>HYPERLINK("https://www.szaktars.hu/harmattan/view/idegenek-egy-bunos-varosban-muveszettortenetek-es-vizualis-kulturak/", "https://www.szaktars.hu/harmattan/view/idegenek-egy-bunos-varosban-muveszettortenetek-es-vizualis-kulturak/")</f>
        <v>https://www.szaktars.hu/harmattan/view/idegenek-egy-bunos-varosban-muveszettortenetek-es-vizualis-kulturak/</v>
      </c>
    </row>
    <row r="273" spans="1:6" x14ac:dyDescent="0.25">
      <c r="A273" t="s">
        <v>777</v>
      </c>
      <c r="B273" t="s">
        <v>778</v>
      </c>
      <c r="C273" t="s">
        <v>779</v>
      </c>
      <c r="D273">
        <v>2010</v>
      </c>
      <c r="E273" t="s">
        <v>780</v>
      </c>
      <c r="F273" t="str">
        <f>HYPERLINK("https://www.szaktars.hu/harmattan/view/ha-a-nezo-is-resztvevove-valna-kiserletek-a-szinhaz-es-a-kozonseg-viszonyanak-ujragondolasara/", "https://www.szaktars.hu/harmattan/view/ha-a-nezo-is-resztvevove-valna-kiserletek-a-szinhaz-es-a-kozonseg-viszonyanak-ujragondolasara/")</f>
        <v>https://www.szaktars.hu/harmattan/view/ha-a-nezo-is-resztvevove-valna-kiserletek-a-szinhaz-es-a-kozonseg-viszonyanak-ujragondolasara/</v>
      </c>
    </row>
    <row r="274" spans="1:6" x14ac:dyDescent="0.25">
      <c r="A274" t="s">
        <v>781</v>
      </c>
      <c r="B274" t="s">
        <v>782</v>
      </c>
      <c r="C274" t="s">
        <v>783</v>
      </c>
      <c r="D274">
        <v>2015</v>
      </c>
      <c r="E274" t="s">
        <v>780</v>
      </c>
      <c r="F274" t="str">
        <f>HYPERLINK("https://www.szaktars.hu/harmattan/view/trendek-a-kortars-olasz-dramaban/", "https://www.szaktars.hu/harmattan/view/trendek-a-kortars-olasz-dramaban/")</f>
        <v>https://www.szaktars.hu/harmattan/view/trendek-a-kortars-olasz-dramaban/</v>
      </c>
    </row>
    <row r="275" spans="1:6" x14ac:dyDescent="0.25">
      <c r="A275" t="s">
        <v>784</v>
      </c>
      <c r="B275" t="s">
        <v>785</v>
      </c>
      <c r="C275" t="s">
        <v>786</v>
      </c>
      <c r="D275">
        <v>2005</v>
      </c>
      <c r="E275" t="s">
        <v>780</v>
      </c>
      <c r="F275" t="str">
        <f>HYPERLINK("https://www.szaktars.hu/harmattan/view/heltai-jeno-dramai-eletmuve/", "https://www.szaktars.hu/harmattan/view/heltai-jeno-dramai-eletmuve/")</f>
        <v>https://www.szaktars.hu/harmattan/view/heltai-jeno-dramai-eletmuve/</v>
      </c>
    </row>
    <row r="276" spans="1:6" x14ac:dyDescent="0.25">
      <c r="A276" t="s">
        <v>787</v>
      </c>
      <c r="B276" t="s">
        <v>788</v>
      </c>
      <c r="C276" t="s">
        <v>789</v>
      </c>
      <c r="D276">
        <v>2015</v>
      </c>
      <c r="E276" t="s">
        <v>780</v>
      </c>
      <c r="F276" t="str">
        <f>HYPERLINK("https://www.szaktars.hu/harmattan/view/nezo-klasszikusok-a-mai-magyar-szinhazban/", "https://www.szaktars.hu/harmattan/view/nezo-klasszikusok-a-mai-magyar-szinhazban/")</f>
        <v>https://www.szaktars.hu/harmattan/view/nezo-klasszikusok-a-mai-magyar-szinhazban/</v>
      </c>
    </row>
    <row r="277" spans="1:6" x14ac:dyDescent="0.25">
      <c r="A277" t="s">
        <v>790</v>
      </c>
      <c r="B277" t="s">
        <v>791</v>
      </c>
      <c r="C277" t="s">
        <v>792</v>
      </c>
      <c r="D277">
        <v>2010</v>
      </c>
      <c r="E277" t="s">
        <v>780</v>
      </c>
      <c r="F277" t="str">
        <f>HYPERLINK("https://www.szaktars.hu/harmattan/view/a-drama-mint-tarsadalomkutatas-a-drama-mint-tarsadalomkutatas/", "https://www.szaktars.hu/harmattan/view/a-drama-mint-tarsadalomkutatas-a-drama-mint-tarsadalomkutatas/")</f>
        <v>https://www.szaktars.hu/harmattan/view/a-drama-mint-tarsadalomkutatas-a-drama-mint-tarsadalomkutatas/</v>
      </c>
    </row>
    <row r="278" spans="1:6" x14ac:dyDescent="0.25">
      <c r="A278" t="s">
        <v>793</v>
      </c>
      <c r="B278" t="s">
        <v>794</v>
      </c>
      <c r="C278" t="s">
        <v>795</v>
      </c>
      <c r="D278">
        <v>2012</v>
      </c>
      <c r="E278" t="s">
        <v>780</v>
      </c>
      <c r="F278" t="str">
        <f>HYPERLINK("https://www.szaktars.hu/harmattan/view/uj-nezo-tarsadalmi-szinhazi-kiserlet-magyarorszagon/", "https://www.szaktars.hu/harmattan/view/uj-nezo-tarsadalmi-szinhazi-kiserlet-magyarorszagon/")</f>
        <v>https://www.szaktars.hu/harmattan/view/uj-nezo-tarsadalmi-szinhazi-kiserlet-magyarorszagon/</v>
      </c>
    </row>
    <row r="279" spans="1:6" x14ac:dyDescent="0.25">
      <c r="A279" t="s">
        <v>796</v>
      </c>
      <c r="B279" t="s">
        <v>797</v>
      </c>
      <c r="C279" t="s">
        <v>798</v>
      </c>
      <c r="D279">
        <v>2009</v>
      </c>
      <c r="E279" t="s">
        <v>780</v>
      </c>
      <c r="F279" t="str">
        <f>HYPERLINK("https://www.szaktars.hu/harmattan/view/a-szinhaztudomany-az-akademiai-diszciplinak-rendjeben-becsy-tamas-eletmuverol/", "https://www.szaktars.hu/harmattan/view/a-szinhaztudomany-az-akademiai-diszciplinak-rendjeben-becsy-tamas-eletmuverol/")</f>
        <v>https://www.szaktars.hu/harmattan/view/a-szinhaztudomany-az-akademiai-diszciplinak-rendjeben-becsy-tamas-eletmuverol/</v>
      </c>
    </row>
    <row r="280" spans="1:6" x14ac:dyDescent="0.25">
      <c r="A280" t="s">
        <v>799</v>
      </c>
      <c r="B280" t="s">
        <v>800</v>
      </c>
      <c r="C280" t="s">
        <v>801</v>
      </c>
      <c r="D280">
        <v>2006</v>
      </c>
      <c r="E280" t="s">
        <v>780</v>
      </c>
      <c r="F280" t="str">
        <f>HYPERLINK("https://www.szaktars.hu/harmattan/view/latvanyszinhaz-performativitas-mufaj-test/", "https://www.szaktars.hu/harmattan/view/latvanyszinhaz-performativitas-mufaj-test/")</f>
        <v>https://www.szaktars.hu/harmattan/view/latvanyszinhaz-performativitas-mufaj-test/</v>
      </c>
    </row>
    <row r="281" spans="1:6" x14ac:dyDescent="0.25">
      <c r="A281" t="s">
        <v>802</v>
      </c>
      <c r="B281" t="s">
        <v>803</v>
      </c>
      <c r="C281" t="s">
        <v>804</v>
      </c>
      <c r="D281">
        <v>2015</v>
      </c>
      <c r="E281" t="s">
        <v>780</v>
      </c>
      <c r="F281" t="str">
        <f>HYPERLINK("https://www.szaktars.hu/harmattan/view/ruszt-jozsef/", "https://www.szaktars.hu/harmattan/view/ruszt-jozsef/")</f>
        <v>https://www.szaktars.hu/harmattan/view/ruszt-jozsef/</v>
      </c>
    </row>
    <row r="282" spans="1:6" x14ac:dyDescent="0.25">
      <c r="A282" t="s">
        <v>805</v>
      </c>
      <c r="B282" t="s">
        <v>806</v>
      </c>
      <c r="C282" t="s">
        <v>807</v>
      </c>
      <c r="D282">
        <v>2010</v>
      </c>
      <c r="E282" t="s">
        <v>780</v>
      </c>
      <c r="F282" t="str">
        <f>HYPERLINK("https://www.szaktars.hu/harmattan/view/az-onazonossag-alakvaltozasai-az-abszurd-dramaban-samuel-beckett-harold-pinter-es-tom-stoppard/", "https://www.szaktars.hu/harmattan/view/az-onazonossag-alakvaltozasai-az-abszurd-dramaban-samuel-beckett-harold-pinter-es-tom-stoppard/")</f>
        <v>https://www.szaktars.hu/harmattan/view/az-onazonossag-alakvaltozasai-az-abszurd-dramaban-samuel-beckett-harold-pinter-es-tom-stoppard/</v>
      </c>
    </row>
    <row r="283" spans="1:6" x14ac:dyDescent="0.25">
      <c r="A283" t="s">
        <v>808</v>
      </c>
      <c r="B283" t="s">
        <v>809</v>
      </c>
      <c r="C283" t="s">
        <v>810</v>
      </c>
      <c r="D283">
        <v>2014</v>
      </c>
      <c r="E283" t="s">
        <v>780</v>
      </c>
      <c r="F283" t="str">
        <f>HYPERLINK("https://www.szaktars.hu/harmattan/view/a-magyar-drama-az-ezredfordulon/", "https://www.szaktars.hu/harmattan/view/a-magyar-drama-az-ezredfordulon/")</f>
        <v>https://www.szaktars.hu/harmattan/view/a-magyar-drama-az-ezredfordulon/</v>
      </c>
    </row>
    <row r="284" spans="1:6" x14ac:dyDescent="0.25">
      <c r="A284" t="s">
        <v>811</v>
      </c>
      <c r="B284" t="s">
        <v>812</v>
      </c>
      <c r="C284" t="s">
        <v>813</v>
      </c>
      <c r="D284">
        <v>2006</v>
      </c>
      <c r="E284" t="s">
        <v>780</v>
      </c>
      <c r="F284" t="str">
        <f>HYPERLINK("https://www.szaktars.hu/harmattan/view/szinhazi-szotar/", "https://www.szaktars.hu/harmattan/view/szinhazi-szotar/")</f>
        <v>https://www.szaktars.hu/harmattan/view/szinhazi-szotar/</v>
      </c>
    </row>
    <row r="285" spans="1:6" x14ac:dyDescent="0.25">
      <c r="A285" t="s">
        <v>814</v>
      </c>
      <c r="B285" t="s">
        <v>815</v>
      </c>
      <c r="C285" t="s">
        <v>816</v>
      </c>
      <c r="D285">
        <v>2014</v>
      </c>
      <c r="E285" t="s">
        <v>780</v>
      </c>
      <c r="F285" t="str">
        <f>HYPERLINK("https://www.szaktars.hu/harmattan/view/az-orosz-komedia/", "https://www.szaktars.hu/harmattan/view/az-orosz-komedia/")</f>
        <v>https://www.szaktars.hu/harmattan/view/az-orosz-komedia/</v>
      </c>
    </row>
    <row r="286" spans="1:6" x14ac:dyDescent="0.25">
      <c r="A286" t="s">
        <v>817</v>
      </c>
      <c r="B286" t="s">
        <v>818</v>
      </c>
      <c r="C286" t="s">
        <v>819</v>
      </c>
      <c r="D286">
        <v>2012</v>
      </c>
      <c r="E286" t="s">
        <v>780</v>
      </c>
      <c r="F286" t="str">
        <f>HYPERLINK("https://www.szaktars.hu/harmattan/view/a-szineszi-jelenlet-es-a-csend-dramatikus-teatralis-jatekai/", "https://www.szaktars.hu/harmattan/view/a-szineszi-jelenlet-es-a-csend-dramatikus-teatralis-jatekai/")</f>
        <v>https://www.szaktars.hu/harmattan/view/a-szineszi-jelenlet-es-a-csend-dramatikus-teatralis-jatekai/</v>
      </c>
    </row>
    <row r="287" spans="1:6" x14ac:dyDescent="0.25">
      <c r="A287" t="s">
        <v>820</v>
      </c>
      <c r="B287" t="s">
        <v>821</v>
      </c>
      <c r="C287" t="s">
        <v>822</v>
      </c>
      <c r="D287" t="s">
        <v>149</v>
      </c>
      <c r="E287" t="s">
        <v>780</v>
      </c>
      <c r="F287" t="str">
        <f>HYPERLINK("https://www.szaktars.hu/harmattan/view/le-theatre-immobile-de-janos-pilinszky-lu-dans-loptique-de-mallarme-simone-weil-et-robert-wilson/", "https://www.szaktars.hu/harmattan/view/le-theatre-immobile-de-janos-pilinszky-lu-dans-loptique-de-mallarme-simone-weil-et-robert-wilson/")</f>
        <v>https://www.szaktars.hu/harmattan/view/le-theatre-immobile-de-janos-pilinszky-lu-dans-loptique-de-mallarme-simone-weil-et-robert-wilson/</v>
      </c>
    </row>
    <row r="288" spans="1:6" x14ac:dyDescent="0.25">
      <c r="A288" t="s">
        <v>823</v>
      </c>
      <c r="B288" t="s">
        <v>821</v>
      </c>
      <c r="C288" t="s">
        <v>824</v>
      </c>
      <c r="D288">
        <v>2015</v>
      </c>
      <c r="E288" t="s">
        <v>780</v>
      </c>
      <c r="F288" t="str">
        <f>HYPERLINK("https://www.szaktars.hu/harmattan/view/pilinszky-janos-mozdulatlan-szinhaza-mallarme-simone-weil-es-robert-wilson-muveinek-tukreben/", "https://www.szaktars.hu/harmattan/view/pilinszky-janos-mozdulatlan-szinhaza-mallarme-simone-weil-es-robert-wilson-muveinek-tukreben/")</f>
        <v>https://www.szaktars.hu/harmattan/view/pilinszky-janos-mozdulatlan-szinhaza-mallarme-simone-weil-es-robert-wilson-muveinek-tukreben/</v>
      </c>
    </row>
    <row r="289" spans="1:6" x14ac:dyDescent="0.25">
      <c r="A289" t="s">
        <v>825</v>
      </c>
      <c r="B289" t="s">
        <v>821</v>
      </c>
      <c r="C289" t="s">
        <v>826</v>
      </c>
      <c r="D289">
        <v>2015</v>
      </c>
      <c r="E289" t="s">
        <v>780</v>
      </c>
      <c r="F289" t="str">
        <f>HYPERLINK("https://www.szaktars.hu/harmattan/view/pilinszky-janos-mozdulatlan-szinhaza-mallarme-simone-weil-es-robert-wilson-muveinek-tukreben-1/", "https://www.szaktars.hu/harmattan/view/pilinszky-janos-mozdulatlan-szinhaza-mallarme-simone-weil-es-robert-wilson-muveinek-tukreben-1/")</f>
        <v>https://www.szaktars.hu/harmattan/view/pilinszky-janos-mozdulatlan-szinhaza-mallarme-simone-weil-es-robert-wilson-muveinek-tukreben-1/</v>
      </c>
    </row>
    <row r="290" spans="1:6" x14ac:dyDescent="0.25">
      <c r="A290" t="s">
        <v>827</v>
      </c>
      <c r="B290" t="s">
        <v>828</v>
      </c>
      <c r="C290" t="s">
        <v>829</v>
      </c>
      <c r="D290">
        <v>2009</v>
      </c>
      <c r="E290" t="s">
        <v>830</v>
      </c>
      <c r="F290" t="str">
        <f>HYPERLINK("https://www.szaktars.hu/harmattan/view/otven-kortars-koreografus/", "https://www.szaktars.hu/harmattan/view/otven-kortars-koreografus/")</f>
        <v>https://www.szaktars.hu/harmattan/view/otven-kortars-koreografus/</v>
      </c>
    </row>
    <row r="291" spans="1:6" x14ac:dyDescent="0.25">
      <c r="A291" t="s">
        <v>831</v>
      </c>
      <c r="B291" t="s">
        <v>832</v>
      </c>
      <c r="C291" t="s">
        <v>833</v>
      </c>
      <c r="D291">
        <v>2012</v>
      </c>
      <c r="E291" t="s">
        <v>830</v>
      </c>
      <c r="F291" t="str">
        <f>HYPERLINK("https://www.szaktars.hu/harmattan/view/merce-cunningham/", "https://www.szaktars.hu/harmattan/view/merce-cunningham/")</f>
        <v>https://www.szaktars.hu/harmattan/view/merce-cunningham/</v>
      </c>
    </row>
    <row r="292" spans="1:6" x14ac:dyDescent="0.25">
      <c r="A292" t="s">
        <v>834</v>
      </c>
      <c r="B292" t="s">
        <v>835</v>
      </c>
      <c r="C292" t="s">
        <v>836</v>
      </c>
      <c r="D292">
        <v>2009</v>
      </c>
      <c r="E292" t="s">
        <v>830</v>
      </c>
      <c r="F292" t="str">
        <f>HYPERLINK("https://www.szaktars.hu/harmattan/view/eletem/", "https://www.szaktars.hu/harmattan/view/eletem/")</f>
        <v>https://www.szaktars.hu/harmattan/view/eletem/</v>
      </c>
    </row>
    <row r="293" spans="1:6" x14ac:dyDescent="0.25">
      <c r="A293" t="s">
        <v>837</v>
      </c>
      <c r="B293" t="s">
        <v>838</v>
      </c>
      <c r="C293" t="s">
        <v>839</v>
      </c>
      <c r="D293">
        <v>2007</v>
      </c>
      <c r="E293" t="s">
        <v>830</v>
      </c>
      <c r="F293" t="str">
        <f>HYPERLINK("https://www.szaktars.hu/harmattan/view/szaz-ev-tanc/", "https://www.szaktars.hu/harmattan/view/szaz-ev-tanc/")</f>
        <v>https://www.szaktars.hu/harmattan/view/szaz-ev-tanc/</v>
      </c>
    </row>
    <row r="294" spans="1:6" x14ac:dyDescent="0.25">
      <c r="A294" t="s">
        <v>840</v>
      </c>
      <c r="B294" t="s">
        <v>838</v>
      </c>
      <c r="C294" t="s">
        <v>841</v>
      </c>
      <c r="D294">
        <v>2008</v>
      </c>
      <c r="E294" t="s">
        <v>830</v>
      </c>
      <c r="F294" t="str">
        <f>HYPERLINK("https://www.szaktars.hu/harmattan/view/tancpoetikak-szoveggyujtemeny-a-reneszansztol-a-posztmodernig/", "https://www.szaktars.hu/harmattan/view/tancpoetikak-szoveggyujtemeny-a-reneszansztol-a-posztmodernig/")</f>
        <v>https://www.szaktars.hu/harmattan/view/tancpoetikak-szoveggyujtemeny-a-reneszansztol-a-posztmodernig/</v>
      </c>
    </row>
    <row r="295" spans="1:6" x14ac:dyDescent="0.25">
      <c r="A295" t="s">
        <v>842</v>
      </c>
      <c r="B295" t="s">
        <v>843</v>
      </c>
      <c r="C295" t="s">
        <v>844</v>
      </c>
      <c r="D295">
        <v>2011</v>
      </c>
      <c r="E295" t="s">
        <v>830</v>
      </c>
      <c r="F295" t="str">
        <f>HYPERLINK("https://www.szaktars.hu/harmattan/view/dance-profile-hungary/", "https://www.szaktars.hu/harmattan/view/dance-profile-hungary/")</f>
        <v>https://www.szaktars.hu/harmattan/view/dance-profile-hungary/</v>
      </c>
    </row>
    <row r="296" spans="1:6" x14ac:dyDescent="0.25">
      <c r="A296" t="s">
        <v>845</v>
      </c>
      <c r="B296" t="s">
        <v>846</v>
      </c>
      <c r="C296" t="s">
        <v>847</v>
      </c>
      <c r="D296">
        <v>2011</v>
      </c>
      <c r="E296" t="s">
        <v>830</v>
      </c>
      <c r="F296" t="str">
        <f>HYPERLINK("https://www.szaktars.hu/harmattan/view/tanc-jel-iras-a-neptancok-lejegyzese-laban-kinetografiaval/", "https://www.szaktars.hu/harmattan/view/tanc-jel-iras-a-neptancok-lejegyzese-laban-kinetografiaval/")</f>
        <v>https://www.szaktars.hu/harmattan/view/tanc-jel-iras-a-neptancok-lejegyzese-laban-kinetografiaval/</v>
      </c>
    </row>
    <row r="297" spans="1:6" x14ac:dyDescent="0.25">
      <c r="A297" t="s">
        <v>848</v>
      </c>
      <c r="B297" t="s">
        <v>849</v>
      </c>
      <c r="C297" t="s">
        <v>850</v>
      </c>
      <c r="D297">
        <v>2013</v>
      </c>
      <c r="E297" t="s">
        <v>830</v>
      </c>
      <c r="F297" t="str">
        <f>HYPERLINK("https://www.szaktars.hu/harmattan/view/regi-magyar-tancstilus-az-ugros-antologia/", "https://www.szaktars.hu/harmattan/view/regi-magyar-tancstilus-az-ugros-antologia/")</f>
        <v>https://www.szaktars.hu/harmattan/view/regi-magyar-tancstilus-az-ugros-antologia/</v>
      </c>
    </row>
    <row r="298" spans="1:6" x14ac:dyDescent="0.25">
      <c r="A298" t="s">
        <v>851</v>
      </c>
      <c r="B298" t="s">
        <v>852</v>
      </c>
      <c r="C298" t="s">
        <v>853</v>
      </c>
      <c r="D298">
        <v>2010</v>
      </c>
      <c r="E298" t="s">
        <v>830</v>
      </c>
      <c r="F298" t="str">
        <f>HYPERLINK("https://www.szaktars.hu/harmattan/view/szinhaz-utca-visszaemlekezesek/", "https://www.szaktars.hu/harmattan/view/szinhaz-utca-visszaemlekezesek/")</f>
        <v>https://www.szaktars.hu/harmattan/view/szinhaz-utca-visszaemlekezesek/</v>
      </c>
    </row>
    <row r="299" spans="1:6" x14ac:dyDescent="0.25">
      <c r="A299" t="s">
        <v>854</v>
      </c>
      <c r="B299" t="s">
        <v>855</v>
      </c>
      <c r="C299" t="s">
        <v>856</v>
      </c>
      <c r="D299">
        <v>2008</v>
      </c>
      <c r="E299" t="s">
        <v>830</v>
      </c>
      <c r="F299" t="str">
        <f>HYPERLINK("https://www.szaktars.hu/harmattan/view/koreografia/", "https://www.szaktars.hu/harmattan/view/koreografia/")</f>
        <v>https://www.szaktars.hu/harmattan/view/koreografia/</v>
      </c>
    </row>
    <row r="300" spans="1:6" x14ac:dyDescent="0.25">
      <c r="A300" t="s">
        <v>857</v>
      </c>
      <c r="B300" t="s">
        <v>855</v>
      </c>
      <c r="C300" t="s">
        <v>858</v>
      </c>
      <c r="D300">
        <v>2009</v>
      </c>
      <c r="E300" t="s">
        <v>830</v>
      </c>
      <c r="F300" t="str">
        <f>HYPERLINK("https://www.szaktars.hu/harmattan/view/tancnak-szentelt-elet-visszaemlekezesek/", "https://www.szaktars.hu/harmattan/view/tancnak-szentelt-elet-visszaemlekezesek/")</f>
        <v>https://www.szaktars.hu/harmattan/view/tancnak-szentelt-elet-visszaemlekezesek/</v>
      </c>
    </row>
    <row r="301" spans="1:6" x14ac:dyDescent="0.25">
      <c r="A301" t="s">
        <v>859</v>
      </c>
      <c r="B301" t="s">
        <v>860</v>
      </c>
      <c r="C301" t="s">
        <v>861</v>
      </c>
      <c r="D301">
        <v>2008</v>
      </c>
      <c r="E301" t="s">
        <v>830</v>
      </c>
      <c r="F301" t="str">
        <f>HYPERLINK("https://www.szaktars.hu/harmattan/view/levelek-a-tancrol-es-a-balettekrol/", "https://www.szaktars.hu/harmattan/view/levelek-a-tancrol-es-a-balettekrol/")</f>
        <v>https://www.szaktars.hu/harmattan/view/levelek-a-tancrol-es-a-balettekrol/</v>
      </c>
    </row>
    <row r="302" spans="1:6" x14ac:dyDescent="0.25">
      <c r="A302" t="s">
        <v>862</v>
      </c>
      <c r="B302" t="s">
        <v>863</v>
      </c>
      <c r="C302" t="s">
        <v>864</v>
      </c>
      <c r="D302">
        <v>2010</v>
      </c>
      <c r="E302" t="s">
        <v>830</v>
      </c>
      <c r="F302" t="str">
        <f>HYPERLINK("https://www.szaktars.hu/harmattan/view/az-ugros-tancok-zeneje-music-of-ugros-dances/", "https://www.szaktars.hu/harmattan/view/az-ugros-tancok-zeneje-music-of-ugros-dances/")</f>
        <v>https://www.szaktars.hu/harmattan/view/az-ugros-tancok-zeneje-music-of-ugros-dances/</v>
      </c>
    </row>
    <row r="303" spans="1:6" x14ac:dyDescent="0.25">
      <c r="A303" t="s">
        <v>865</v>
      </c>
      <c r="B303" t="s">
        <v>866</v>
      </c>
      <c r="C303" t="s">
        <v>867</v>
      </c>
      <c r="D303">
        <v>2011</v>
      </c>
      <c r="E303" t="s">
        <v>830</v>
      </c>
      <c r="F303" t="str">
        <f>HYPERLINK("https://www.szaktars.hu/harmattan/view/pina-bausch-felelmek-alagutjan-at/", "https://www.szaktars.hu/harmattan/view/pina-bausch-felelmek-alagutjan-at/")</f>
        <v>https://www.szaktars.hu/harmattan/view/pina-bausch-felelmek-alagutjan-at/</v>
      </c>
    </row>
    <row r="304" spans="1:6" x14ac:dyDescent="0.25">
      <c r="A304" t="s">
        <v>868</v>
      </c>
      <c r="B304" t="s">
        <v>869</v>
      </c>
      <c r="C304" t="s">
        <v>870</v>
      </c>
      <c r="D304">
        <v>2011</v>
      </c>
      <c r="E304" t="s">
        <v>871</v>
      </c>
      <c r="F304" t="str">
        <f>HYPERLINK("https://www.szaktars.hu/harmattan/view/zeneantropolisz-hazai-utak-a-zeneantropologiahoz/", "https://www.szaktars.hu/harmattan/view/zeneantropolisz-hazai-utak-a-zeneantropologiahoz/")</f>
        <v>https://www.szaktars.hu/harmattan/view/zeneantropolisz-hazai-utak-a-zeneantropologiahoz/</v>
      </c>
    </row>
    <row r="305" spans="1:6" x14ac:dyDescent="0.25">
      <c r="A305" t="s">
        <v>872</v>
      </c>
      <c r="B305" t="s">
        <v>873</v>
      </c>
      <c r="C305" t="s">
        <v>874</v>
      </c>
      <c r="D305">
        <v>2013</v>
      </c>
      <c r="E305" t="s">
        <v>871</v>
      </c>
      <c r="F305" t="str">
        <f>HYPERLINK("https://www.szaktars.hu/harmattan/view/tanulmanykotet-ujfalussy-jozsef-emlekere-tanulmanyok-emlekirasok-hommage-ok/", "https://www.szaktars.hu/harmattan/view/tanulmanykotet-ujfalussy-jozsef-emlekere-tanulmanyok-emlekirasok-hommage-ok/")</f>
        <v>https://www.szaktars.hu/harmattan/view/tanulmanykotet-ujfalussy-jozsef-emlekere-tanulmanyok-emlekirasok-hommage-ok/</v>
      </c>
    </row>
    <row r="306" spans="1:6" x14ac:dyDescent="0.25">
      <c r="A306" t="s">
        <v>875</v>
      </c>
      <c r="B306" t="s">
        <v>876</v>
      </c>
      <c r="C306" t="s">
        <v>877</v>
      </c>
      <c r="D306">
        <v>2007</v>
      </c>
      <c r="E306" t="s">
        <v>871</v>
      </c>
      <c r="F306" t="str">
        <f>HYPERLINK("https://www.szaktars.hu/harmattan/view/afrikai-hangszerek/", "https://www.szaktars.hu/harmattan/view/afrikai-hangszerek/")</f>
        <v>https://www.szaktars.hu/harmattan/view/afrikai-hangszerek/</v>
      </c>
    </row>
    <row r="307" spans="1:6" x14ac:dyDescent="0.25">
      <c r="A307" t="s">
        <v>878</v>
      </c>
      <c r="B307" t="s">
        <v>846</v>
      </c>
      <c r="C307" t="s">
        <v>879</v>
      </c>
      <c r="D307">
        <v>2015</v>
      </c>
      <c r="E307" t="s">
        <v>871</v>
      </c>
      <c r="F307" t="str">
        <f>HYPERLINK("https://www.szaktars.hu/harmattan/view/maacz/", "https://www.szaktars.hu/harmattan/view/maacz/")</f>
        <v>https://www.szaktars.hu/harmattan/view/maacz/</v>
      </c>
    </row>
    <row r="308" spans="1:6" x14ac:dyDescent="0.25">
      <c r="A308" t="s">
        <v>880</v>
      </c>
      <c r="B308" t="s">
        <v>881</v>
      </c>
      <c r="C308" t="s">
        <v>882</v>
      </c>
      <c r="D308">
        <v>2015</v>
      </c>
      <c r="E308" t="s">
        <v>871</v>
      </c>
      <c r="F308" t="str">
        <f>HYPERLINK("https://www.szaktars.hu/harmattan/view/a-zenei-hallas/", "https://www.szaktars.hu/harmattan/view/a-zenei-hallas/")</f>
        <v>https://www.szaktars.hu/harmattan/view/a-zenei-hallas/</v>
      </c>
    </row>
    <row r="309" spans="1:6" x14ac:dyDescent="0.25">
      <c r="A309" t="s">
        <v>883</v>
      </c>
      <c r="B309" t="s">
        <v>884</v>
      </c>
      <c r="C309" t="s">
        <v>885</v>
      </c>
      <c r="D309">
        <v>2004</v>
      </c>
      <c r="E309" t="s">
        <v>871</v>
      </c>
      <c r="F309" t="str">
        <f>HYPERLINK("https://www.szaktars.hu/harmattan/view/kozkolteszet-es-nepkolteszet/", "https://www.szaktars.hu/harmattan/view/kozkolteszet-es-nepkolteszet/")</f>
        <v>https://www.szaktars.hu/harmattan/view/kozkolteszet-es-nepkolteszet/</v>
      </c>
    </row>
    <row r="310" spans="1:6" x14ac:dyDescent="0.25">
      <c r="A310" t="s">
        <v>886</v>
      </c>
      <c r="B310" t="s">
        <v>887</v>
      </c>
      <c r="C310" t="s">
        <v>888</v>
      </c>
      <c r="D310">
        <v>2016</v>
      </c>
      <c r="E310" t="s">
        <v>871</v>
      </c>
      <c r="F310" t="str">
        <f>HYPERLINK("https://www.szaktars.hu/harmattan/view/enekelt-tortenelem-i-az-allamalapitas-kora/", "https://www.szaktars.hu/harmattan/view/enekelt-tortenelem-i-az-allamalapitas-kora/")</f>
        <v>https://www.szaktars.hu/harmattan/view/enekelt-tortenelem-i-az-allamalapitas-kora/</v>
      </c>
    </row>
    <row r="311" spans="1:6" x14ac:dyDescent="0.25">
      <c r="A311" t="s">
        <v>889</v>
      </c>
      <c r="B311" t="s">
        <v>890</v>
      </c>
      <c r="C311" t="s">
        <v>891</v>
      </c>
      <c r="D311">
        <v>2007</v>
      </c>
      <c r="E311" t="s">
        <v>871</v>
      </c>
      <c r="F311" t="str">
        <f>HYPERLINK("https://www.szaktars.hu/harmattan/view/belso-zened-dallama-zeneterapia-es-pszichodrama/", "https://www.szaktars.hu/harmattan/view/belso-zened-dallama-zeneterapia-es-pszichodrama/")</f>
        <v>https://www.szaktars.hu/harmattan/view/belso-zened-dallama-zeneterapia-es-pszichodrama/</v>
      </c>
    </row>
    <row r="312" spans="1:6" x14ac:dyDescent="0.25">
      <c r="A312" t="s">
        <v>892</v>
      </c>
      <c r="B312" t="s">
        <v>893</v>
      </c>
      <c r="C312" t="s">
        <v>894</v>
      </c>
      <c r="D312">
        <v>2012</v>
      </c>
      <c r="E312" t="s">
        <v>871</v>
      </c>
      <c r="F312" t="str">
        <f>HYPERLINK("https://www.szaktars.hu/harmattan/view/tort-akkordok-zeneesztetikai-irasok/", "https://www.szaktars.hu/harmattan/view/tort-akkordok-zeneesztetikai-irasok/")</f>
        <v>https://www.szaktars.hu/harmattan/view/tort-akkordok-zeneesztetikai-irasok/</v>
      </c>
    </row>
    <row r="313" spans="1:6" x14ac:dyDescent="0.25">
      <c r="A313" t="s">
        <v>895</v>
      </c>
      <c r="B313" t="s">
        <v>896</v>
      </c>
      <c r="C313" t="s">
        <v>897</v>
      </c>
      <c r="D313">
        <v>2012</v>
      </c>
      <c r="E313" t="s">
        <v>871</v>
      </c>
      <c r="F313" t="str">
        <f>HYPERLINK("https://www.szaktars.hu/harmattan/view/a-regi-magyar-nepzene-nyomaban-a-kaukazusi-karacsajok-nepzeneje/", "https://www.szaktars.hu/harmattan/view/a-regi-magyar-nepzene-nyomaban-a-kaukazusi-karacsajok-nepzeneje/")</f>
        <v>https://www.szaktars.hu/harmattan/view/a-regi-magyar-nepzene-nyomaban-a-kaukazusi-karacsajok-nepzeneje/</v>
      </c>
    </row>
    <row r="314" spans="1:6" x14ac:dyDescent="0.25">
      <c r="A314" t="s">
        <v>898</v>
      </c>
      <c r="B314" t="s">
        <v>899</v>
      </c>
      <c r="C314" t="s">
        <v>900</v>
      </c>
      <c r="D314">
        <v>2015</v>
      </c>
      <c r="E314" t="s">
        <v>871</v>
      </c>
      <c r="F314" t="str">
        <f>HYPERLINK("https://www.szaktars.hu/harmattan/view/karachay-balkar-folksongs/", "https://www.szaktars.hu/harmattan/view/karachay-balkar-folksongs/")</f>
        <v>https://www.szaktars.hu/harmattan/view/karachay-balkar-folksongs/</v>
      </c>
    </row>
    <row r="315" spans="1:6" x14ac:dyDescent="0.25">
      <c r="A315" t="s">
        <v>901</v>
      </c>
      <c r="B315" t="s">
        <v>899</v>
      </c>
      <c r="C315" t="s">
        <v>902</v>
      </c>
      <c r="D315">
        <v>2014</v>
      </c>
      <c r="E315" t="s">
        <v>871</v>
      </c>
      <c r="F315" t="str">
        <f>HYPERLINK("https://www.szaktars.hu/harmattan/view/kyrgyz-folksongs/", "https://www.szaktars.hu/harmattan/view/kyrgyz-folksongs/")</f>
        <v>https://www.szaktars.hu/harmattan/view/kyrgyz-folksongs/</v>
      </c>
    </row>
    <row r="316" spans="1:6" x14ac:dyDescent="0.25">
      <c r="A316" t="s">
        <v>903</v>
      </c>
      <c r="B316" t="s">
        <v>904</v>
      </c>
      <c r="C316" t="s">
        <v>905</v>
      </c>
      <c r="D316">
        <v>2012</v>
      </c>
      <c r="E316" t="s">
        <v>871</v>
      </c>
      <c r="F316" t="str">
        <f>HYPERLINK("https://www.szaktars.hu/harmattan/view/tukrozodesek-unnepi-tanulmanykotet-domokos-maria-nepzenekutato-zenetortenesz-tiszteletere/", "https://www.szaktars.hu/harmattan/view/tukrozodesek-unnepi-tanulmanykotet-domokos-maria-nepzenekutato-zenetortenesz-tiszteletere/")</f>
        <v>https://www.szaktars.hu/harmattan/view/tukrozodesek-unnepi-tanulmanykotet-domokos-maria-nepzenekutato-zenetortenesz-tiszteletere/</v>
      </c>
    </row>
    <row r="317" spans="1:6" x14ac:dyDescent="0.25">
      <c r="A317" t="s">
        <v>906</v>
      </c>
      <c r="B317" t="s">
        <v>907</v>
      </c>
      <c r="C317" t="s">
        <v>908</v>
      </c>
      <c r="D317">
        <v>2011</v>
      </c>
      <c r="E317" t="s">
        <v>871</v>
      </c>
      <c r="F317" t="str">
        <f>HYPERLINK("https://www.szaktars.hu/harmattan/view/zenei-halozatok-zene-mufajok-es-kozossegek-az-online-halozatok-es-az-atalakulo-zeneipar-koraban/", "https://www.szaktars.hu/harmattan/view/zenei-halozatok-zene-mufajok-es-kozossegek-az-online-halozatok-es-az-atalakulo-zeneipar-koraban/")</f>
        <v>https://www.szaktars.hu/harmattan/view/zenei-halozatok-zene-mufajok-es-kozossegek-az-online-halozatok-es-az-atalakulo-zeneipar-koraban/</v>
      </c>
    </row>
    <row r="318" spans="1:6" x14ac:dyDescent="0.25">
      <c r="A318" t="s">
        <v>909</v>
      </c>
      <c r="B318" t="s">
        <v>910</v>
      </c>
      <c r="C318" t="s">
        <v>911</v>
      </c>
      <c r="D318">
        <v>2015</v>
      </c>
      <c r="E318" t="s">
        <v>871</v>
      </c>
      <c r="F318" t="str">
        <f>HYPERLINK("https://www.szaktars.hu/harmattan/view/liszt-reflexiok/", "https://www.szaktars.hu/harmattan/view/liszt-reflexiok/")</f>
        <v>https://www.szaktars.hu/harmattan/view/liszt-reflexiok/</v>
      </c>
    </row>
    <row r="319" spans="1:6" x14ac:dyDescent="0.25">
      <c r="A319" t="s">
        <v>912</v>
      </c>
      <c r="B319" t="s">
        <v>913</v>
      </c>
      <c r="C319" t="s">
        <v>914</v>
      </c>
      <c r="D319">
        <v>2016</v>
      </c>
      <c r="E319" t="s">
        <v>871</v>
      </c>
      <c r="F319" t="str">
        <f>HYPERLINK("https://www.szaktars.hu/harmattan/view/vivente-e-moriente-1956-emlekezete-a-komolyzeneben/", "https://www.szaktars.hu/harmattan/view/vivente-e-moriente-1956-emlekezete-a-komolyzeneben/")</f>
        <v>https://www.szaktars.hu/harmattan/view/vivente-e-moriente-1956-emlekezete-a-komolyzeneben/</v>
      </c>
    </row>
    <row r="320" spans="1:6" x14ac:dyDescent="0.25">
      <c r="A320" t="s">
        <v>915</v>
      </c>
      <c r="B320" t="s">
        <v>916</v>
      </c>
      <c r="C320" t="s">
        <v>917</v>
      </c>
      <c r="D320">
        <v>2014</v>
      </c>
      <c r="E320" t="s">
        <v>918</v>
      </c>
      <c r="F320" t="str">
        <f>HYPERLINK("https://www.szaktars.hu/harmattan/view/repulok-a-gyogyszerrel-a-kabitoszerezes-tortenete-a-szocialista-magyarorszagon/", "https://www.szaktars.hu/harmattan/view/repulok-a-gyogyszerrel-a-kabitoszerezes-tortenete-a-szocialista-magyarorszagon/")</f>
        <v>https://www.szaktars.hu/harmattan/view/repulok-a-gyogyszerrel-a-kabitoszerezes-tortenete-a-szocialista-magyarorszagon/</v>
      </c>
    </row>
    <row r="321" spans="1:6" x14ac:dyDescent="0.25">
      <c r="A321" t="s">
        <v>919</v>
      </c>
      <c r="B321" t="s">
        <v>920</v>
      </c>
      <c r="C321" t="s">
        <v>921</v>
      </c>
      <c r="D321">
        <v>2008</v>
      </c>
      <c r="E321" t="s">
        <v>918</v>
      </c>
      <c r="F321" t="str">
        <f>HYPERLINK("https://www.szaktars.hu/harmattan/view/partik-drogok-artalomcsokkentes-kvalitativ-kutatasok-a-parti-szcenaban/", "https://www.szaktars.hu/harmattan/view/partik-drogok-artalomcsokkentes-kvalitativ-kutatasok-a-parti-szcenaban/")</f>
        <v>https://www.szaktars.hu/harmattan/view/partik-drogok-artalomcsokkentes-kvalitativ-kutatasok-a-parti-szcenaban/</v>
      </c>
    </row>
    <row r="322" spans="1:6" x14ac:dyDescent="0.25">
      <c r="A322" t="s">
        <v>922</v>
      </c>
      <c r="B322" t="s">
        <v>923</v>
      </c>
      <c r="C322" t="s">
        <v>924</v>
      </c>
      <c r="D322">
        <v>2009</v>
      </c>
      <c r="E322" t="s">
        <v>918</v>
      </c>
      <c r="F322" t="str">
        <f>HYPERLINK("https://www.szaktars.hu/harmattan/view/plaza-ifjusag-eletmod-egeszsegmagatartas-vizsgalatok-a-fiatalok-koreben-kutatasok-x/", "https://www.szaktars.hu/harmattan/view/plaza-ifjusag-eletmod-egeszsegmagatartas-vizsgalatok-a-fiatalok-koreben-kutatasok-x/")</f>
        <v>https://www.szaktars.hu/harmattan/view/plaza-ifjusag-eletmod-egeszsegmagatartas-vizsgalatok-a-fiatalok-koreben-kutatasok-x/</v>
      </c>
    </row>
    <row r="323" spans="1:6" x14ac:dyDescent="0.25">
      <c r="A323" t="s">
        <v>925</v>
      </c>
      <c r="B323" t="s">
        <v>926</v>
      </c>
      <c r="C323" t="s">
        <v>927</v>
      </c>
      <c r="D323">
        <v>2007</v>
      </c>
      <c r="E323" t="s">
        <v>918</v>
      </c>
      <c r="F323" t="str">
        <f>HYPERLINK("https://www.szaktars.hu/harmattan/view/iskolai-egeszsegpszichologia/", "https://www.szaktars.hu/harmattan/view/iskolai-egeszsegpszichologia/")</f>
        <v>https://www.szaktars.hu/harmattan/view/iskolai-egeszsegpszichologia/</v>
      </c>
    </row>
    <row r="324" spans="1:6" x14ac:dyDescent="0.25">
      <c r="A324" t="s">
        <v>928</v>
      </c>
      <c r="B324" t="s">
        <v>929</v>
      </c>
      <c r="C324" t="s">
        <v>930</v>
      </c>
      <c r="D324">
        <v>2007</v>
      </c>
      <c r="E324" t="s">
        <v>918</v>
      </c>
      <c r="F324" t="str">
        <f>HYPERLINK("https://www.szaktars.hu/harmattan/view/drog-csalad-szemelyiseg-kulonbozo-tipusu-drogok-hasznalatanak-szemelyisegpszichologiai-es-csaladi-hattere-kutatasok-vii/", "https://www.szaktars.hu/harmattan/view/drog-csalad-szemelyiseg-kulonbozo-tipusu-drogok-hasznalatanak-szemelyisegpszichologiai-es-csaladi-hattere-kutatasok-vii/")</f>
        <v>https://www.szaktars.hu/harmattan/view/drog-csalad-szemelyiseg-kulonbozo-tipusu-drogok-hasznalatanak-szemelyisegpszichologiai-es-csaladi-hattere-kutatasok-vii/</v>
      </c>
    </row>
    <row r="325" spans="1:6" x14ac:dyDescent="0.25">
      <c r="A325" t="s">
        <v>931</v>
      </c>
      <c r="B325" t="s">
        <v>929</v>
      </c>
      <c r="C325" t="s">
        <v>932</v>
      </c>
      <c r="D325">
        <v>2001</v>
      </c>
      <c r="E325" t="s">
        <v>918</v>
      </c>
      <c r="F325" t="str">
        <f>HYPERLINK("https://www.szaktars.hu/harmattan/view/droghasznalat-magyarorszag-tancos-szorakozohelyein/", "https://www.szaktars.hu/harmattan/view/droghasznalat-magyarorszag-tancos-szorakozohelyein/")</f>
        <v>https://www.szaktars.hu/harmattan/view/droghasznalat-magyarorszag-tancos-szorakozohelyein/</v>
      </c>
    </row>
    <row r="326" spans="1:6" x14ac:dyDescent="0.25">
      <c r="A326" t="s">
        <v>933</v>
      </c>
      <c r="B326" t="s">
        <v>934</v>
      </c>
      <c r="C326" t="s">
        <v>935</v>
      </c>
      <c r="D326">
        <v>2009</v>
      </c>
      <c r="E326" t="s">
        <v>918</v>
      </c>
      <c r="F326" t="str">
        <f>HYPERLINK("https://www.szaktars.hu/harmattan/view/egy-valtozo-kor-valtozo-ifjusaga-fiatalok-alkohol-es-egyeb-drogfogyasztasa-magyarorszagon-kutatasok-xii/", "https://www.szaktars.hu/harmattan/view/egy-valtozo-kor-valtozo-ifjusaga-fiatalok-alkohol-es-egyeb-drogfogyasztasa-magyarorszagon-kutatasok-xii/")</f>
        <v>https://www.szaktars.hu/harmattan/view/egy-valtozo-kor-valtozo-ifjusaga-fiatalok-alkohol-es-egyeb-drogfogyasztasa-magyarorszagon-kutatasok-xii/</v>
      </c>
    </row>
    <row r="327" spans="1:6" x14ac:dyDescent="0.25">
      <c r="A327" t="s">
        <v>936</v>
      </c>
      <c r="B327" t="s">
        <v>937</v>
      </c>
      <c r="C327" t="s">
        <v>938</v>
      </c>
      <c r="D327">
        <v>2006</v>
      </c>
      <c r="E327" t="s">
        <v>918</v>
      </c>
      <c r="F327" t="str">
        <f>HYPERLINK("https://www.szaktars.hu/harmattan/view/szerencsejatek-eletre-halalra/", "https://www.szaktars.hu/harmattan/view/szerencsejatek-eletre-halalra/")</f>
        <v>https://www.szaktars.hu/harmattan/view/szerencsejatek-eletre-halalra/</v>
      </c>
    </row>
    <row r="328" spans="1:6" x14ac:dyDescent="0.25">
      <c r="A328" t="s">
        <v>939</v>
      </c>
      <c r="B328" t="s">
        <v>940</v>
      </c>
      <c r="C328" t="s">
        <v>941</v>
      </c>
      <c r="D328">
        <v>2009</v>
      </c>
      <c r="E328" t="s">
        <v>918</v>
      </c>
      <c r="F328" t="str">
        <f>HYPERLINK("https://www.szaktars.hu/harmattan/view/drogpolitika-szamokban/", "https://www.szaktars.hu/harmattan/view/drogpolitika-szamokban/")</f>
        <v>https://www.szaktars.hu/harmattan/view/drogpolitika-szamokban/</v>
      </c>
    </row>
    <row r="329" spans="1:6" x14ac:dyDescent="0.25">
      <c r="A329" t="s">
        <v>942</v>
      </c>
      <c r="B329" t="s">
        <v>943</v>
      </c>
      <c r="C329" t="s">
        <v>944</v>
      </c>
      <c r="D329">
        <v>2010</v>
      </c>
      <c r="E329" t="s">
        <v>918</v>
      </c>
      <c r="F329" t="str">
        <f>HYPERLINK("https://www.szaktars.hu/harmattan/view/sovargas-es-szenvedes-az-addiktiv-kereses-melylelektani-megkozelitese/", "https://www.szaktars.hu/harmattan/view/sovargas-es-szenvedes-az-addiktiv-kereses-melylelektani-megkozelitese/")</f>
        <v>https://www.szaktars.hu/harmattan/view/sovargas-es-szenvedes-az-addiktiv-kereses-melylelektani-megkozelitese/</v>
      </c>
    </row>
    <row r="330" spans="1:6" x14ac:dyDescent="0.25">
      <c r="A330" t="s">
        <v>945</v>
      </c>
      <c r="B330" t="s">
        <v>946</v>
      </c>
      <c r="C330" t="s">
        <v>947</v>
      </c>
      <c r="D330">
        <v>2008</v>
      </c>
      <c r="E330" t="s">
        <v>918</v>
      </c>
      <c r="F330" t="str">
        <f>HYPERLINK("https://www.szaktars.hu/harmattan/view/egy-ismeretlen-tortenet/", "https://www.szaktars.hu/harmattan/view/egy-ismeretlen-tortenet/")</f>
        <v>https://www.szaktars.hu/harmattan/view/egy-ismeretlen-tortenet/</v>
      </c>
    </row>
    <row r="331" spans="1:6" x14ac:dyDescent="0.25">
      <c r="A331" t="s">
        <v>948</v>
      </c>
      <c r="B331" t="s">
        <v>949</v>
      </c>
      <c r="C331" t="s">
        <v>950</v>
      </c>
      <c r="D331">
        <v>2003</v>
      </c>
      <c r="E331" t="s">
        <v>918</v>
      </c>
      <c r="F331" t="str">
        <f>HYPERLINK("https://www.szaktars.hu/harmattan/view/a-drogprevencios-gyakorlat-megismerese-budapesti-iskolai-drogprevencios-programok-felmerese-es-ertekelese/", "https://www.szaktars.hu/harmattan/view/a-drogprevencios-gyakorlat-megismerese-budapesti-iskolai-drogprevencios-programok-felmerese-es-ertekelese/")</f>
        <v>https://www.szaktars.hu/harmattan/view/a-drogprevencios-gyakorlat-megismerese-budapesti-iskolai-drogprevencios-programok-felmerese-es-ertekelese/</v>
      </c>
    </row>
    <row r="332" spans="1:6" x14ac:dyDescent="0.25">
      <c r="A332" t="s">
        <v>951</v>
      </c>
      <c r="B332" t="s">
        <v>952</v>
      </c>
      <c r="C332" t="s">
        <v>953</v>
      </c>
      <c r="D332">
        <v>2011</v>
      </c>
      <c r="E332" t="s">
        <v>918</v>
      </c>
      <c r="F332" t="str">
        <f>HYPERLINK("https://www.szaktars.hu/harmattan/view/drogprevencio-es-egeszsegfejlesztes-az-iskolaban-nemzeti-drogmegelozesi-intezet-i/", "https://www.szaktars.hu/harmattan/view/drogprevencio-es-egeszsegfejlesztes-az-iskolaban-nemzeti-drogmegelozesi-intezet-i/")</f>
        <v>https://www.szaktars.hu/harmattan/view/drogprevencio-es-egeszsegfejlesztes-az-iskolaban-nemzeti-drogmegelozesi-intezet-i/</v>
      </c>
    </row>
    <row r="333" spans="1:6" x14ac:dyDescent="0.25">
      <c r="A333" t="s">
        <v>954</v>
      </c>
      <c r="B333" t="s">
        <v>955</v>
      </c>
      <c r="C333" t="s">
        <v>956</v>
      </c>
      <c r="D333">
        <v>2003</v>
      </c>
      <c r="E333" t="s">
        <v>918</v>
      </c>
      <c r="F333" t="str">
        <f>HYPERLINK("https://www.szaktars.hu/harmattan/view/drogok-es-felnottek-a-tizennyolc-ev-feletti-lakossag-drogfogyasztasa-es-droggal-kapcsolatos-gondolkodasa-az-ezredfordulon-magyarorszagon/", "https://www.szaktars.hu/harmattan/view/drogok-es-felnottek-a-tizennyolc-ev-feletti-lakossag-drogfogyasztasa-es-droggal-kapcsolatos-gondolkodasa-az-ezredfordulon-magyarorszagon/")</f>
        <v>https://www.szaktars.hu/harmattan/view/drogok-es-felnottek-a-tizennyolc-ev-feletti-lakossag-drogfogyasztasa-es-droggal-kapcsolatos-gondolkodasa-az-ezredfordulon-magyarorszagon/</v>
      </c>
    </row>
    <row r="334" spans="1:6" x14ac:dyDescent="0.25">
      <c r="A334" t="s">
        <v>957</v>
      </c>
      <c r="B334" t="s">
        <v>958</v>
      </c>
      <c r="C334" t="s">
        <v>959</v>
      </c>
      <c r="D334">
        <v>2007</v>
      </c>
      <c r="E334" t="s">
        <v>918</v>
      </c>
      <c r="F334" t="str">
        <f>HYPERLINK("https://www.szaktars.hu/harmattan/view/ifjusag-karos-szenvedelyek-es-egeszseg-a-modern-tarsadalomban-nemzeti-drogmegelozesi-intezet-szakmai-forras-sorozat-elmeletek-modellek-3/", "https://www.szaktars.hu/harmattan/view/ifjusag-karos-szenvedelyek-es-egeszseg-a-modern-tarsadalomban-nemzeti-drogmegelozesi-intezet-szakmai-forras-sorozat-elmeletek-modellek-3/")</f>
        <v>https://www.szaktars.hu/harmattan/view/ifjusag-karos-szenvedelyek-es-egeszseg-a-modern-tarsadalomban-nemzeti-drogmegelozesi-intezet-szakmai-forras-sorozat-elmeletek-modellek-3/</v>
      </c>
    </row>
    <row r="335" spans="1:6" x14ac:dyDescent="0.25">
      <c r="A335" t="s">
        <v>960</v>
      </c>
      <c r="B335" t="s">
        <v>958</v>
      </c>
      <c r="C335" t="s">
        <v>961</v>
      </c>
      <c r="D335">
        <v>2010</v>
      </c>
      <c r="E335" t="s">
        <v>918</v>
      </c>
      <c r="F335" t="str">
        <f>HYPERLINK("https://www.szaktars.hu/harmattan/view/vedofaktorok-nyomaban-a-karos-szenvedelyek-megelozese-es-egeszsegfejlesztes-serdulokorban/", "https://www.szaktars.hu/harmattan/view/vedofaktorok-nyomaban-a-karos-szenvedelyek-megelozese-es-egeszsegfejlesztes-serdulokorban/")</f>
        <v>https://www.szaktars.hu/harmattan/view/vedofaktorok-nyomaban-a-karos-szenvedelyek-megelozese-es-egeszsegfejlesztes-serdulokorban/</v>
      </c>
    </row>
    <row r="336" spans="1:6" x14ac:dyDescent="0.25">
      <c r="A336" t="s">
        <v>962</v>
      </c>
      <c r="B336" t="s">
        <v>963</v>
      </c>
      <c r="C336" t="s">
        <v>964</v>
      </c>
      <c r="D336">
        <v>2006</v>
      </c>
      <c r="E336" t="s">
        <v>918</v>
      </c>
      <c r="F336" t="str">
        <f>HYPERLINK("https://www.szaktars.hu/harmattan/view/drogpolitika-hatalomgyakorlas-es-tarsadalmi-kozeg-elemzesek-foucault-i-perspektivabol-elmeletek-modellek-5/", "https://www.szaktars.hu/harmattan/view/drogpolitika-hatalomgyakorlas-es-tarsadalmi-kozeg-elemzesek-foucault-i-perspektivabol-elmeletek-modellek-5/")</f>
        <v>https://www.szaktars.hu/harmattan/view/drogpolitika-hatalomgyakorlas-es-tarsadalmi-kozeg-elemzesek-foucault-i-perspektivabol-elmeletek-modellek-5/</v>
      </c>
    </row>
    <row r="337" spans="1:6" x14ac:dyDescent="0.25">
      <c r="A337" t="s">
        <v>965</v>
      </c>
      <c r="B337" t="s">
        <v>966</v>
      </c>
      <c r="C337" t="s">
        <v>967</v>
      </c>
      <c r="D337">
        <v>2008</v>
      </c>
      <c r="E337" t="s">
        <v>918</v>
      </c>
      <c r="F337" t="str">
        <f>HYPERLINK("https://www.szaktars.hu/harmattan/view/az-eselyteremtes-uj-utjai-kortars-es-sorstars-segitessel-szerzett-tapasztalataink-kutatasok-ix/", "https://www.szaktars.hu/harmattan/view/az-eselyteremtes-uj-utjai-kortars-es-sorstars-segitessel-szerzett-tapasztalataink-kutatasok-ix/")</f>
        <v>https://www.szaktars.hu/harmattan/view/az-eselyteremtes-uj-utjai-kortars-es-sorstars-segitessel-szerzett-tapasztalataink-kutatasok-ix/</v>
      </c>
    </row>
    <row r="338" spans="1:6" x14ac:dyDescent="0.25">
      <c r="A338" t="s">
        <v>968</v>
      </c>
      <c r="B338" t="s">
        <v>966</v>
      </c>
      <c r="C338" t="s">
        <v>969</v>
      </c>
      <c r="D338">
        <v>2007</v>
      </c>
      <c r="E338" t="s">
        <v>918</v>
      </c>
      <c r="F338" t="str">
        <f>HYPERLINK("https://www.szaktars.hu/harmattan/view/leszakadok-a-tarsadalmi-kirekesztodes-folyamata-kutatasok-v/", "https://www.szaktars.hu/harmattan/view/leszakadok-a-tarsadalmi-kirekesztodes-folyamata-kutatasok-v/")</f>
        <v>https://www.szaktars.hu/harmattan/view/leszakadok-a-tarsadalmi-kirekesztodes-folyamata-kutatasok-v/</v>
      </c>
    </row>
    <row r="339" spans="1:6" x14ac:dyDescent="0.25">
      <c r="A339" t="s">
        <v>970</v>
      </c>
      <c r="B339" t="s">
        <v>971</v>
      </c>
      <c r="C339" t="s">
        <v>972</v>
      </c>
      <c r="D339">
        <v>2010</v>
      </c>
      <c r="E339" t="s">
        <v>918</v>
      </c>
      <c r="F339" t="str">
        <f>HYPERLINK("https://www.szaktars.hu/harmattan/view/ut-a-tuleleshez-nyilt-szini-droghasznalat-es-belovoszobak-budapesten-az-artalomcsokkentessel-kapcsolatos-megfontolasok-kutatasok-xiii/", "https://www.szaktars.hu/harmattan/view/ut-a-tuleleshez-nyilt-szini-droghasznalat-es-belovoszobak-budapesten-az-artalomcsokkentessel-kapcsolatos-megfontolasok-kutatasok-xiii/")</f>
        <v>https://www.szaktars.hu/harmattan/view/ut-a-tuleleshez-nyilt-szini-droghasznalat-es-belovoszobak-budapesten-az-artalomcsokkentessel-kapcsolatos-megfontolasok-kutatasok-xiii/</v>
      </c>
    </row>
    <row r="340" spans="1:6" x14ac:dyDescent="0.25">
      <c r="A340" t="s">
        <v>973</v>
      </c>
      <c r="B340" t="s">
        <v>974</v>
      </c>
      <c r="C340" t="s">
        <v>975</v>
      </c>
      <c r="D340">
        <v>2006</v>
      </c>
      <c r="E340" t="s">
        <v>918</v>
      </c>
      <c r="F340" t="str">
        <f>HYPERLINK("https://www.szaktars.hu/harmattan/view/kvalitativ-drogkutatasok-/", "https://www.szaktars.hu/harmattan/view/kvalitativ-drogkutatasok-/")</f>
        <v>https://www.szaktars.hu/harmattan/view/kvalitativ-drogkutatasok-/</v>
      </c>
    </row>
    <row r="341" spans="1:6" x14ac:dyDescent="0.25">
      <c r="A341" t="s">
        <v>976</v>
      </c>
      <c r="B341" t="s">
        <v>977</v>
      </c>
      <c r="C341" t="s">
        <v>978</v>
      </c>
      <c r="D341">
        <v>2003</v>
      </c>
      <c r="E341" t="s">
        <v>918</v>
      </c>
      <c r="F341" t="str">
        <f>HYPERLINK("https://www.szaktars.hu/harmattan/view/torveny-a-kabitoszerrel-valo-visszaeles-buntetojogi-megitelesenek-hatasvizsgalata-1999-marcius-1-utan-kutatasok-iii/", "https://www.szaktars.hu/harmattan/view/torveny-a-kabitoszerrel-valo-visszaeles-buntetojogi-megitelesenek-hatasvizsgalata-1999-marcius-1-utan-kutatasok-iii/")</f>
        <v>https://www.szaktars.hu/harmattan/view/torveny-a-kabitoszerrel-valo-visszaeles-buntetojogi-megitelesenek-hatasvizsgalata-1999-marcius-1-utan-kutatasok-iii/</v>
      </c>
    </row>
    <row r="342" spans="1:6" x14ac:dyDescent="0.25">
      <c r="A342" t="s">
        <v>979</v>
      </c>
      <c r="B342" t="s">
        <v>980</v>
      </c>
      <c r="C342" t="s">
        <v>981</v>
      </c>
      <c r="D342">
        <v>2004</v>
      </c>
      <c r="E342" t="s">
        <v>918</v>
      </c>
      <c r="F342" t="str">
        <f>HYPERLINK("https://www.szaktars.hu/harmattan/view/kovirag-a-drogpokol-hetkoznapjai/", "https://www.szaktars.hu/harmattan/view/kovirag-a-drogpokol-hetkoznapjai/")</f>
        <v>https://www.szaktars.hu/harmattan/view/kovirag-a-drogpokol-hetkoznapjai/</v>
      </c>
    </row>
    <row r="343" spans="1:6" x14ac:dyDescent="0.25">
      <c r="A343" t="s">
        <v>982</v>
      </c>
      <c r="B343" t="s">
        <v>983</v>
      </c>
      <c r="C343" t="s">
        <v>984</v>
      </c>
      <c r="D343">
        <v>2001</v>
      </c>
      <c r="E343" t="s">
        <v>918</v>
      </c>
      <c r="F343" t="str">
        <f>HYPERLINK("https://www.szaktars.hu/harmattan/view/szirenek-eneke/", "https://www.szaktars.hu/harmattan/view/szirenek-eneke/")</f>
        <v>https://www.szaktars.hu/harmattan/view/szirenek-eneke/</v>
      </c>
    </row>
    <row r="344" spans="1:6" x14ac:dyDescent="0.25">
      <c r="A344" t="s">
        <v>985</v>
      </c>
      <c r="B344" t="s">
        <v>986</v>
      </c>
      <c r="C344" t="s">
        <v>987</v>
      </c>
      <c r="D344">
        <v>2009</v>
      </c>
      <c r="E344" t="s">
        <v>988</v>
      </c>
      <c r="F344" t="str">
        <f>HYPERLINK("https://www.szaktars.hu/harmattan/view/antropogen-okologiai-valtozasok-a-karpat-medenceben/", "https://www.szaktars.hu/harmattan/view/antropogen-okologiai-valtozasok-a-karpat-medenceben/")</f>
        <v>https://www.szaktars.hu/harmattan/view/antropogen-okologiai-valtozasok-a-karpat-medenceben/</v>
      </c>
    </row>
    <row r="345" spans="1:6" x14ac:dyDescent="0.25">
      <c r="A345" t="s">
        <v>989</v>
      </c>
      <c r="B345" t="s">
        <v>990</v>
      </c>
      <c r="C345" t="s">
        <v>991</v>
      </c>
      <c r="D345">
        <v>2011</v>
      </c>
      <c r="E345" t="s">
        <v>988</v>
      </c>
      <c r="F345" t="str">
        <f>HYPERLINK("https://www.szaktars.hu/harmattan/view/utazas-a-palyaudvar-korul-az-elso-indohaztol-a-plazaudvarokig/", "https://www.szaktars.hu/harmattan/view/utazas-a-palyaudvar-korul-az-elso-indohaztol-a-plazaudvarokig/")</f>
        <v>https://www.szaktars.hu/harmattan/view/utazas-a-palyaudvar-korul-az-elso-indohaztol-a-plazaudvarokig/</v>
      </c>
    </row>
    <row r="346" spans="1:6" x14ac:dyDescent="0.25">
      <c r="A346" t="s">
        <v>992</v>
      </c>
      <c r="B346" t="s">
        <v>993</v>
      </c>
      <c r="C346" t="s">
        <v>994</v>
      </c>
      <c r="D346">
        <v>2016</v>
      </c>
      <c r="E346" t="s">
        <v>988</v>
      </c>
      <c r="F346" t="str">
        <f>HYPERLINK("https://www.szaktars.hu/harmattan/view/mitosz-vallas-es-egyhaz-latin-amerikaban-a-boglar-lajos-emlekkonferencia-tanulmanykotete/", "https://www.szaktars.hu/harmattan/view/mitosz-vallas-es-egyhaz-latin-amerikaban-a-boglar-lajos-emlekkonferencia-tanulmanykotete/")</f>
        <v>https://www.szaktars.hu/harmattan/view/mitosz-vallas-es-egyhaz-latin-amerikaban-a-boglar-lajos-emlekkonferencia-tanulmanykotete/</v>
      </c>
    </row>
    <row r="347" spans="1:6" x14ac:dyDescent="0.25">
      <c r="A347" t="s">
        <v>995</v>
      </c>
      <c r="B347" t="s">
        <v>996</v>
      </c>
      <c r="C347" t="s">
        <v>997</v>
      </c>
      <c r="D347">
        <v>2014</v>
      </c>
      <c r="E347" t="s">
        <v>988</v>
      </c>
      <c r="F347" t="str">
        <f>HYPERLINK("https://www.szaktars.hu/harmattan/view/alcalai-romanok-migracio-es-tarsadalmi-differencialodas-kulturak-keresztutjan-21/", "https://www.szaktars.hu/harmattan/view/alcalai-romanok-migracio-es-tarsadalmi-differencialodas-kulturak-keresztutjan-21/")</f>
        <v>https://www.szaktars.hu/harmattan/view/alcalai-romanok-migracio-es-tarsadalmi-differencialodas-kulturak-keresztutjan-21/</v>
      </c>
    </row>
    <row r="348" spans="1:6" x14ac:dyDescent="0.25">
      <c r="A348" t="s">
        <v>998</v>
      </c>
      <c r="B348" t="s">
        <v>999</v>
      </c>
      <c r="C348" t="s">
        <v>1000</v>
      </c>
      <c r="D348">
        <v>2002</v>
      </c>
      <c r="E348" t="s">
        <v>988</v>
      </c>
      <c r="F348" t="str">
        <f>HYPERLINK("https://www.szaktars.hu/harmattan/view/bevezetes-ket-szocialantropologiai-elmeletbe/", "https://www.szaktars.hu/harmattan/view/bevezetes-ket-szocialantropologiai-elmeletbe/")</f>
        <v>https://www.szaktars.hu/harmattan/view/bevezetes-ket-szocialantropologiai-elmeletbe/</v>
      </c>
    </row>
    <row r="349" spans="1:6" x14ac:dyDescent="0.25">
      <c r="A349" t="s">
        <v>1001</v>
      </c>
      <c r="B349" t="s">
        <v>1002</v>
      </c>
      <c r="C349" t="s">
        <v>1003</v>
      </c>
      <c r="D349">
        <v>2004</v>
      </c>
      <c r="E349" t="s">
        <v>988</v>
      </c>
      <c r="F349" t="str">
        <f>HYPERLINK("https://www.szaktars.hu/harmattan/view/a-kulturalis-orokseg/", "https://www.szaktars.hu/harmattan/view/a-kulturalis-orokseg/")</f>
        <v>https://www.szaktars.hu/harmattan/view/a-kulturalis-orokseg/</v>
      </c>
    </row>
    <row r="350" spans="1:6" x14ac:dyDescent="0.25">
      <c r="A350" t="s">
        <v>1004</v>
      </c>
      <c r="B350" t="s">
        <v>1005</v>
      </c>
      <c r="C350" t="s">
        <v>1006</v>
      </c>
      <c r="D350">
        <v>2008</v>
      </c>
      <c r="E350" t="s">
        <v>988</v>
      </c>
      <c r="F350" t="str">
        <f>HYPERLINK("https://www.szaktars.hu/harmattan/view/demologia-antropologia-es-kulturkritika-az-olasz-kerdes/", "https://www.szaktars.hu/harmattan/view/demologia-antropologia-es-kulturkritika-az-olasz-kerdes/")</f>
        <v>https://www.szaktars.hu/harmattan/view/demologia-antropologia-es-kulturkritika-az-olasz-kerdes/</v>
      </c>
    </row>
    <row r="351" spans="1:6" x14ac:dyDescent="0.25">
      <c r="A351" t="s">
        <v>1007</v>
      </c>
      <c r="B351" t="s">
        <v>1008</v>
      </c>
      <c r="C351" t="s">
        <v>1009</v>
      </c>
      <c r="D351">
        <v>2009</v>
      </c>
      <c r="E351" t="s">
        <v>988</v>
      </c>
      <c r="F351" t="str">
        <f>HYPERLINK("https://www.szaktars.hu/harmattan/view/ardzsuna-dilemmaja-reszocializacio-es-legitimacio-egy-magyar-krisna-hitu-kozossegben/", "https://www.szaktars.hu/harmattan/view/ardzsuna-dilemmaja-reszocializacio-es-legitimacio-egy-magyar-krisna-hitu-kozossegben/")</f>
        <v>https://www.szaktars.hu/harmattan/view/ardzsuna-dilemmaja-reszocializacio-es-legitimacio-egy-magyar-krisna-hitu-kozossegben/</v>
      </c>
    </row>
    <row r="352" spans="1:6" x14ac:dyDescent="0.25">
      <c r="A352" t="s">
        <v>1010</v>
      </c>
      <c r="B352" t="s">
        <v>1011</v>
      </c>
      <c r="C352" t="s">
        <v>1012</v>
      </c>
      <c r="D352">
        <v>2004</v>
      </c>
      <c r="E352" t="s">
        <v>988</v>
      </c>
      <c r="F352" t="str">
        <f>HYPERLINK("https://www.szaktars.hu/harmattan/view/feheren-feketen-varsanytol-rititiig-tanulmanyok-sarkany-mihaly-tiszteletere-i-kotet/", "https://www.szaktars.hu/harmattan/view/feheren-feketen-varsanytol-rititiig-tanulmanyok-sarkany-mihaly-tiszteletere-i-kotet/")</f>
        <v>https://www.szaktars.hu/harmattan/view/feheren-feketen-varsanytol-rititiig-tanulmanyok-sarkany-mihaly-tiszteletere-i-kotet/</v>
      </c>
    </row>
    <row r="353" spans="1:6" x14ac:dyDescent="0.25">
      <c r="A353" t="s">
        <v>1013</v>
      </c>
      <c r="B353" t="s">
        <v>1011</v>
      </c>
      <c r="C353" t="s">
        <v>1014</v>
      </c>
      <c r="D353">
        <v>2004</v>
      </c>
      <c r="E353" t="s">
        <v>988</v>
      </c>
      <c r="F353" t="str">
        <f>HYPERLINK("https://www.szaktars.hu/harmattan/view/feheren-feketen-varsanytol-rititiig-tanulmanyok-sarkany-mihaly-tiszteletere-ii-kotet/", "https://www.szaktars.hu/harmattan/view/feheren-feketen-varsanytol-rititiig-tanulmanyok-sarkany-mihaly-tiszteletere-ii-kotet/")</f>
        <v>https://www.szaktars.hu/harmattan/view/feheren-feketen-varsanytol-rititiig-tanulmanyok-sarkany-mihaly-tiszteletere-ii-kotet/</v>
      </c>
    </row>
    <row r="354" spans="1:6" x14ac:dyDescent="0.25">
      <c r="A354" t="s">
        <v>1015</v>
      </c>
      <c r="B354" t="s">
        <v>1016</v>
      </c>
      <c r="C354" t="s">
        <v>1017</v>
      </c>
      <c r="D354">
        <v>2007</v>
      </c>
      <c r="E354" t="s">
        <v>988</v>
      </c>
      <c r="F354" t="str">
        <f>HYPERLINK("https://www.szaktars.hu/harmattan/view/atmeneti-ritusok/", "https://www.szaktars.hu/harmattan/view/atmeneti-ritusok/")</f>
        <v>https://www.szaktars.hu/harmattan/view/atmeneti-ritusok/</v>
      </c>
    </row>
    <row r="355" spans="1:6" x14ac:dyDescent="0.25">
      <c r="A355" t="s">
        <v>1018</v>
      </c>
      <c r="B355" t="s">
        <v>1019</v>
      </c>
      <c r="C355" t="s">
        <v>1020</v>
      </c>
      <c r="D355">
        <v>2006</v>
      </c>
      <c r="E355" t="s">
        <v>988</v>
      </c>
      <c r="F355" t="str">
        <f>HYPERLINK("https://www.szaktars.hu/harmattan/view/eva-gyermekei-es-az-egyenlotlenseg-eredete-mesek-teremtestortenetek-etnoszemiotikai-elemzesek-afrika-europa/", "https://www.szaktars.hu/harmattan/view/eva-gyermekei-es-az-egyenlotlenseg-eredete-mesek-teremtestortenetek-etnoszemiotikai-elemzesek-afrika-europa/")</f>
        <v>https://www.szaktars.hu/harmattan/view/eva-gyermekei-es-az-egyenlotlenseg-eredete-mesek-teremtestortenetek-etnoszemiotikai-elemzesek-afrika-europa/</v>
      </c>
    </row>
    <row r="356" spans="1:6" x14ac:dyDescent="0.25">
      <c r="A356" t="s">
        <v>1021</v>
      </c>
      <c r="B356" t="s">
        <v>1022</v>
      </c>
      <c r="C356" t="s">
        <v>1023</v>
      </c>
      <c r="D356">
        <v>2001</v>
      </c>
      <c r="E356" t="s">
        <v>988</v>
      </c>
      <c r="F356" t="str">
        <f>HYPERLINK("https://www.szaktars.hu/harmattan/view/uton-a-sziberiai-atyafiakhoz-janko-janos-oroszorszagi-levelei-documentatio-ethnographica-16/", "https://www.szaktars.hu/harmattan/view/uton-a-sziberiai-atyafiakhoz-janko-janos-oroszorszagi-levelei-documentatio-ethnographica-16/")</f>
        <v>https://www.szaktars.hu/harmattan/view/uton-a-sziberiai-atyafiakhoz-janko-janos-oroszorszagi-levelei-documentatio-ethnographica-16/</v>
      </c>
    </row>
    <row r="357" spans="1:6" x14ac:dyDescent="0.25">
      <c r="A357" t="s">
        <v>1024</v>
      </c>
      <c r="B357" t="s">
        <v>1025</v>
      </c>
      <c r="C357" t="s">
        <v>1026</v>
      </c>
      <c r="D357">
        <v>2012</v>
      </c>
      <c r="E357" t="s">
        <v>988</v>
      </c>
      <c r="F357" t="str">
        <f>HYPERLINK("https://www.szaktars.hu/harmattan/view/elok-holtak-es-adossagok-a-halottak-szerepe-egy-erdelyi-falu-tarsadalmaban/", "https://www.szaktars.hu/harmattan/view/elok-holtak-es-adossagok-a-halottak-szerepe-egy-erdelyi-falu-tarsadalmaban/")</f>
        <v>https://www.szaktars.hu/harmattan/view/elok-holtak-es-adossagok-a-halottak-szerepe-egy-erdelyi-falu-tarsadalmaban/</v>
      </c>
    </row>
    <row r="358" spans="1:6" x14ac:dyDescent="0.25">
      <c r="A358" t="s">
        <v>1027</v>
      </c>
      <c r="B358" t="s">
        <v>1028</v>
      </c>
      <c r="C358" t="s">
        <v>1029</v>
      </c>
      <c r="D358">
        <v>2009</v>
      </c>
      <c r="E358" t="s">
        <v>988</v>
      </c>
      <c r="F358" t="str">
        <f>HYPERLINK("https://www.szaktars.hu/harmattan/view/antropologia-esvagy-neprajz-tanulmanyok-ket-kutatasi-terulet-vitatott-hatarvidekerol/", "https://www.szaktars.hu/harmattan/view/antropologia-esvagy-neprajz-tanulmanyok-ket-kutatasi-terulet-vitatott-hatarvidekerol/")</f>
        <v>https://www.szaktars.hu/harmattan/view/antropologia-esvagy-neprajz-tanulmanyok-ket-kutatasi-terulet-vitatott-hatarvidekerol/</v>
      </c>
    </row>
    <row r="359" spans="1:6" x14ac:dyDescent="0.25">
      <c r="A359" t="s">
        <v>1030</v>
      </c>
      <c r="B359" t="s">
        <v>1031</v>
      </c>
      <c r="C359" t="s">
        <v>1032</v>
      </c>
      <c r="D359">
        <v>2013</v>
      </c>
      <c r="E359" t="s">
        <v>988</v>
      </c>
      <c r="F359" t="str">
        <f>HYPERLINK("https://www.szaktars.hu/harmattan/view/mint-a-foldbe-hullott-mag-otthon-szules-magyarorszagon-egy-antropologiai-vizsgalat-tanulsagai-kulturak-keresztutjan-19/", "https://www.szaktars.hu/harmattan/view/mint-a-foldbe-hullott-mag-otthon-szules-magyarorszagon-egy-antropologiai-vizsgalat-tanulsagai-kulturak-keresztutjan-19/")</f>
        <v>https://www.szaktars.hu/harmattan/view/mint-a-foldbe-hullott-mag-otthon-szules-magyarorszagon-egy-antropologiai-vizsgalat-tanulsagai-kulturak-keresztutjan-19/</v>
      </c>
    </row>
    <row r="360" spans="1:6" x14ac:dyDescent="0.25">
      <c r="A360" t="s">
        <v>1033</v>
      </c>
      <c r="B360" t="s">
        <v>1034</v>
      </c>
      <c r="C360" t="s">
        <v>1035</v>
      </c>
      <c r="D360">
        <v>2003</v>
      </c>
      <c r="E360" t="s">
        <v>988</v>
      </c>
      <c r="F360" t="str">
        <f>HYPERLINK("https://www.szaktars.hu/harmattan/view/az-antropologia-keresese-valogatott-tanulmanyok-documentatio-ethnographica-20/", "https://www.szaktars.hu/harmattan/view/az-antropologia-keresese-valogatott-tanulmanyok-documentatio-ethnographica-20/")</f>
        <v>https://www.szaktars.hu/harmattan/view/az-antropologia-keresese-valogatott-tanulmanyok-documentatio-ethnographica-20/</v>
      </c>
    </row>
    <row r="361" spans="1:6" x14ac:dyDescent="0.25">
      <c r="A361" t="s">
        <v>1036</v>
      </c>
      <c r="B361" t="s">
        <v>1037</v>
      </c>
      <c r="C361" t="s">
        <v>1038</v>
      </c>
      <c r="D361">
        <v>2012</v>
      </c>
      <c r="E361" t="s">
        <v>988</v>
      </c>
      <c r="F361" t="str">
        <f>HYPERLINK("https://www.szaktars.hu/harmattan/view/az-elkerulhetetlen-vallasantropologiai-tanulmanyok-vargyas-gabor-tiszteletere/", "https://www.szaktars.hu/harmattan/view/az-elkerulhetetlen-vallasantropologiai-tanulmanyok-vargyas-gabor-tiszteletere/")</f>
        <v>https://www.szaktars.hu/harmattan/view/az-elkerulhetetlen-vallasantropologiai-tanulmanyok-vargyas-gabor-tiszteletere/</v>
      </c>
    </row>
    <row r="362" spans="1:6" x14ac:dyDescent="0.25">
      <c r="A362" t="s">
        <v>1039</v>
      </c>
      <c r="B362" t="s">
        <v>1040</v>
      </c>
      <c r="C362" t="s">
        <v>1041</v>
      </c>
      <c r="D362">
        <v>2013</v>
      </c>
      <c r="E362" t="s">
        <v>988</v>
      </c>
      <c r="F362" t="str">
        <f>HYPERLINK("https://www.szaktars.hu/harmattan/view/tekintely-es-bizalom-kultura-es-tarsadalom-ket-sziberiai-falukozossegben/", "https://www.szaktars.hu/harmattan/view/tekintely-es-bizalom-kultura-es-tarsadalom-ket-sziberiai-falukozossegben/")</f>
        <v>https://www.szaktars.hu/harmattan/view/tekintely-es-bizalom-kultura-es-tarsadalom-ket-sziberiai-falukozossegben/</v>
      </c>
    </row>
    <row r="363" spans="1:6" x14ac:dyDescent="0.25">
      <c r="A363" t="s">
        <v>1043</v>
      </c>
      <c r="B363" t="s">
        <v>1042</v>
      </c>
      <c r="C363" t="s">
        <v>1044</v>
      </c>
      <c r="D363">
        <v>2016</v>
      </c>
      <c r="E363" t="s">
        <v>988</v>
      </c>
      <c r="F363" t="str">
        <f>HYPERLINK("https://www.szaktars.hu/harmattan/view/az-ismeretlen-ismeros-tanulmanyok-a-baskortosztani-udmurtok-vallasarol/", "https://www.szaktars.hu/harmattan/view/az-ismeretlen-ismeros-tanulmanyok-a-baskortosztani-udmurtok-vallasarol/")</f>
        <v>https://www.szaktars.hu/harmattan/view/az-ismeretlen-ismeros-tanulmanyok-a-baskortosztani-udmurtok-vallasarol/</v>
      </c>
    </row>
    <row r="364" spans="1:6" x14ac:dyDescent="0.25">
      <c r="A364" t="s">
        <v>1045</v>
      </c>
      <c r="B364" t="s">
        <v>1046</v>
      </c>
      <c r="C364" t="s">
        <v>1047</v>
      </c>
      <c r="D364">
        <v>2016</v>
      </c>
      <c r="E364" t="s">
        <v>988</v>
      </c>
      <c r="F364" t="str">
        <f>HYPERLINK("https://www.szaktars.hu/harmattan/view/a-grimm-mesektol-a-modern-mondakig-folklorisztikai-tanulmanyok/", "https://www.szaktars.hu/harmattan/view/a-grimm-mesektol-a-modern-mondakig-folklorisztikai-tanulmanyok/")</f>
        <v>https://www.szaktars.hu/harmattan/view/a-grimm-mesektol-a-modern-mondakig-folklorisztikai-tanulmanyok/</v>
      </c>
    </row>
    <row r="365" spans="1:6" x14ac:dyDescent="0.25">
      <c r="A365" t="s">
        <v>1048</v>
      </c>
      <c r="B365" t="s">
        <v>1049</v>
      </c>
      <c r="C365" t="s">
        <v>1050</v>
      </c>
      <c r="D365">
        <v>2007</v>
      </c>
      <c r="E365" t="s">
        <v>988</v>
      </c>
      <c r="F365" t="str">
        <f>HYPERLINK("https://www.szaktars.hu/harmattan/view/az-oseink-meg-hittek-az-ordogokben-vallasi-valtozasok-a-vaszjugani-hantiknal/", "https://www.szaktars.hu/harmattan/view/az-oseink-meg-hittek-az-ordogokben-vallasi-valtozasok-a-vaszjugani-hantiknal/")</f>
        <v>https://www.szaktars.hu/harmattan/view/az-oseink-meg-hittek-az-ordogokben-vallasi-valtozasok-a-vaszjugani-hantiknal/</v>
      </c>
    </row>
    <row r="366" spans="1:6" x14ac:dyDescent="0.25">
      <c r="A366" t="s">
        <v>1051</v>
      </c>
      <c r="B366" t="s">
        <v>1052</v>
      </c>
      <c r="C366" t="s">
        <v>1053</v>
      </c>
      <c r="D366">
        <v>2005</v>
      </c>
      <c r="E366" t="s">
        <v>988</v>
      </c>
      <c r="F366" t="str">
        <f>HYPERLINK("https://www.szaktars.hu/harmattan/view/franciaorszag-cigany-hazassag-ciganyok-europaban-3/", "https://www.szaktars.hu/harmattan/view/franciaorszag-cigany-hazassag-ciganyok-europaban-3/")</f>
        <v>https://www.szaktars.hu/harmattan/view/franciaorszag-cigany-hazassag-ciganyok-europaban-3/</v>
      </c>
    </row>
    <row r="367" spans="1:6" x14ac:dyDescent="0.25">
      <c r="A367" t="s">
        <v>1054</v>
      </c>
      <c r="B367" t="s">
        <v>1055</v>
      </c>
      <c r="C367" t="s">
        <v>1056</v>
      </c>
      <c r="D367">
        <v>2015</v>
      </c>
      <c r="E367" t="s">
        <v>988</v>
      </c>
      <c r="F367" t="str">
        <f>HYPERLINK("https://www.szaktars.hu/harmattan/view/amikor-a-lab-elnehezul/", "https://www.szaktars.hu/harmattan/view/amikor-a-lab-elnehezul/")</f>
        <v>https://www.szaktars.hu/harmattan/view/amikor-a-lab-elnehezul/</v>
      </c>
    </row>
    <row r="368" spans="1:6" x14ac:dyDescent="0.25">
      <c r="A368" t="s">
        <v>1057</v>
      </c>
      <c r="B368" t="s">
        <v>1058</v>
      </c>
      <c r="C368" t="s">
        <v>1059</v>
      </c>
      <c r="D368">
        <v>2012</v>
      </c>
      <c r="E368" t="s">
        <v>988</v>
      </c>
      <c r="F368" t="str">
        <f>HYPERLINK("https://www.szaktars.hu/harmattan/view/testi-lelki-rokonsag-a-szinjai-hantik-rokonsagi-csoportjai/", "https://www.szaktars.hu/harmattan/view/testi-lelki-rokonsag-a-szinjai-hantik-rokonsagi-csoportjai/")</f>
        <v>https://www.szaktars.hu/harmattan/view/testi-lelki-rokonsag-a-szinjai-hantik-rokonsagi-csoportjai/</v>
      </c>
    </row>
    <row r="369" spans="1:6" x14ac:dyDescent="0.25">
      <c r="A369" t="s">
        <v>1060</v>
      </c>
      <c r="B369" t="s">
        <v>1061</v>
      </c>
      <c r="C369" t="s">
        <v>1062</v>
      </c>
      <c r="D369">
        <v>2016</v>
      </c>
      <c r="E369" t="s">
        <v>988</v>
      </c>
      <c r="F369" t="str">
        <f>HYPERLINK("https://www.szaktars.hu/harmattan/view/tarsadalom-es-gazdasag-valogatott-szocialantropologiai-irasok/", "https://www.szaktars.hu/harmattan/view/tarsadalom-es-gazdasag-valogatott-szocialantropologiai-irasok/")</f>
        <v>https://www.szaktars.hu/harmattan/view/tarsadalom-es-gazdasag-valogatott-szocialantropologiai-irasok/</v>
      </c>
    </row>
    <row r="370" spans="1:6" x14ac:dyDescent="0.25">
      <c r="A370" t="s">
        <v>1063</v>
      </c>
      <c r="B370" t="s">
        <v>1064</v>
      </c>
      <c r="C370" t="s">
        <v>1065</v>
      </c>
      <c r="D370">
        <v>2007</v>
      </c>
      <c r="E370" t="s">
        <v>988</v>
      </c>
      <c r="F370" t="str">
        <f>HYPERLINK("https://www.szaktars.hu/harmattan/view/migracio-es-turizmus-documentatio-ethnographica-22/", "https://www.szaktars.hu/harmattan/view/migracio-es-turizmus-documentatio-ethnographica-22/")</f>
        <v>https://www.szaktars.hu/harmattan/view/migracio-es-turizmus-documentatio-ethnographica-22/</v>
      </c>
    </row>
    <row r="371" spans="1:6" x14ac:dyDescent="0.25">
      <c r="A371" t="s">
        <v>1066</v>
      </c>
      <c r="B371" t="s">
        <v>1067</v>
      </c>
      <c r="C371" t="s">
        <v>1068</v>
      </c>
      <c r="D371">
        <v>2008</v>
      </c>
      <c r="E371" t="s">
        <v>988</v>
      </c>
      <c r="F371" t="str">
        <f>HYPERLINK("https://www.szaktars.hu/harmattan/view/dacolva-az-elkerulhetetlennel-egy-kozep-vietnami-hegyi-torzs-a-bruk-kulturaja-es-vallasa/", "https://www.szaktars.hu/harmattan/view/dacolva-az-elkerulhetetlennel-egy-kozep-vietnami-hegyi-torzs-a-bruk-kulturaja-es-vallasa/")</f>
        <v>https://www.szaktars.hu/harmattan/view/dacolva-az-elkerulhetetlennel-egy-kozep-vietnami-hegyi-torzs-a-bruk-kulturaja-es-vallasa/</v>
      </c>
    </row>
    <row r="372" spans="1:6" x14ac:dyDescent="0.25">
      <c r="A372" t="s">
        <v>1069</v>
      </c>
      <c r="B372" t="s">
        <v>1070</v>
      </c>
      <c r="C372" t="s">
        <v>1071</v>
      </c>
      <c r="D372">
        <v>2009</v>
      </c>
      <c r="E372" t="s">
        <v>988</v>
      </c>
      <c r="F372" t="str">
        <f>HYPERLINK("https://www.szaktars.hu/harmattan/view/egy-szebb-jovo-kepei-a-futball-a-kameruni-kozgondolkodasban/", "https://www.szaktars.hu/harmattan/view/egy-szebb-jovo-kepei-a-futball-a-kameruni-kozgondolkodasban/")</f>
        <v>https://www.szaktars.hu/harmattan/view/egy-szebb-jovo-kepei-a-futball-a-kameruni-kozgondolkodasban/</v>
      </c>
    </row>
    <row r="373" spans="1:6" x14ac:dyDescent="0.25">
      <c r="A373" t="s">
        <v>1072</v>
      </c>
      <c r="B373" t="s">
        <v>1073</v>
      </c>
      <c r="C373" t="s">
        <v>1074</v>
      </c>
      <c r="D373">
        <v>2009</v>
      </c>
      <c r="E373" t="s">
        <v>988</v>
      </c>
      <c r="F373" t="str">
        <f>HYPERLINK("https://www.szaktars.hu/harmattan/view/visszaterok-a-tradiciohoz-elszakadas-a-zsido-hagyomanytol-es-a-baal-tsuva-jelenseg-kerdesei-a-rendszervaltas-utani-budapesten/", "https://www.szaktars.hu/harmattan/view/visszaterok-a-tradiciohoz-elszakadas-a-zsido-hagyomanytol-es-a-baal-tsuva-jelenseg-kerdesei-a-rendszervaltas-utani-budapesten/")</f>
        <v>https://www.szaktars.hu/harmattan/view/visszaterok-a-tradiciohoz-elszakadas-a-zsido-hagyomanytol-es-a-baal-tsuva-jelenseg-kerdesei-a-rendszervaltas-utani-budapesten/</v>
      </c>
    </row>
    <row r="374" spans="1:6" x14ac:dyDescent="0.25">
      <c r="A374" t="s">
        <v>1075</v>
      </c>
      <c r="B374" t="s">
        <v>1076</v>
      </c>
      <c r="C374" t="s">
        <v>1077</v>
      </c>
      <c r="D374">
        <v>2012</v>
      </c>
      <c r="E374" t="s">
        <v>988</v>
      </c>
      <c r="F374" t="str">
        <f>HYPERLINK("https://www.szaktars.hu/harmattan/view/maps-of-remembrance-space-belonging-and-politics-of-memory-in-eastern-europe/", "https://www.szaktars.hu/harmattan/view/maps-of-remembrance-space-belonging-and-politics-of-memory-in-eastern-europe/")</f>
        <v>https://www.szaktars.hu/harmattan/view/maps-of-remembrance-space-belonging-and-politics-of-memory-in-eastern-europe/</v>
      </c>
    </row>
    <row r="375" spans="1:6" x14ac:dyDescent="0.25">
      <c r="A375" t="s">
        <v>1078</v>
      </c>
      <c r="B375" t="s">
        <v>1076</v>
      </c>
      <c r="C375" t="s">
        <v>1079</v>
      </c>
      <c r="D375">
        <v>2011</v>
      </c>
      <c r="E375" t="s">
        <v>988</v>
      </c>
      <c r="F375" t="str">
        <f>HYPERLINK("https://www.szaktars.hu/harmattan/view/az-emlekezes-terkepei-magyarorszag-es-a-nemzeti-azonossag-1989-utan/", "https://www.szaktars.hu/harmattan/view/az-emlekezes-terkepei-magyarorszag-es-a-nemzeti-azonossag-1989-utan/")</f>
        <v>https://www.szaktars.hu/harmattan/view/az-emlekezes-terkepei-magyarorszag-es-a-nemzeti-azonossag-1989-utan/</v>
      </c>
    </row>
    <row r="376" spans="1:6" x14ac:dyDescent="0.25">
      <c r="A376" t="s">
        <v>1080</v>
      </c>
      <c r="C376" t="s">
        <v>1081</v>
      </c>
      <c r="D376">
        <v>2005</v>
      </c>
      <c r="E376" t="s">
        <v>1082</v>
      </c>
      <c r="F376" t="str">
        <f>HYPERLINK("https://www.szaktars.hu/harmattan/view/a-leibniz-clarke-levelezes/", "https://www.szaktars.hu/harmattan/view/a-leibniz-clarke-levelezes/")</f>
        <v>https://www.szaktars.hu/harmattan/view/a-leibniz-clarke-levelezes/</v>
      </c>
    </row>
    <row r="377" spans="1:6" x14ac:dyDescent="0.25">
      <c r="A377" t="s">
        <v>1083</v>
      </c>
      <c r="B377" t="s">
        <v>1084</v>
      </c>
      <c r="C377" t="s">
        <v>1085</v>
      </c>
      <c r="D377">
        <v>2014</v>
      </c>
      <c r="E377" t="s">
        <v>1082</v>
      </c>
      <c r="F377" t="str">
        <f>HYPERLINK("https://www.szaktars.hu/harmattan/view/a-megertes-mint-hivatas-koszonto-kotet-erdelyi-agnes-70-szuletesnapjara/", "https://www.szaktars.hu/harmattan/view/a-megertes-mint-hivatas-koszonto-kotet-erdelyi-agnes-70-szuletesnapjara/")</f>
        <v>https://www.szaktars.hu/harmattan/view/a-megertes-mint-hivatas-koszonto-kotet-erdelyi-agnes-70-szuletesnapjara/</v>
      </c>
    </row>
    <row r="378" spans="1:6" x14ac:dyDescent="0.25">
      <c r="A378" t="s">
        <v>1086</v>
      </c>
      <c r="B378" t="s">
        <v>1087</v>
      </c>
      <c r="C378" t="s">
        <v>1088</v>
      </c>
      <c r="D378">
        <v>2015</v>
      </c>
      <c r="E378" t="s">
        <v>1082</v>
      </c>
      <c r="F378" t="str">
        <f>HYPERLINK("https://www.szaktars.hu/harmattan/view/tudomanyos-elmefilozofia/", "https://www.szaktars.hu/harmattan/view/tudomanyos-elmefilozofia/")</f>
        <v>https://www.szaktars.hu/harmattan/view/tudomanyos-elmefilozofia/</v>
      </c>
    </row>
    <row r="379" spans="1:6" x14ac:dyDescent="0.25">
      <c r="A379" t="s">
        <v>1089</v>
      </c>
      <c r="B379" t="s">
        <v>1090</v>
      </c>
      <c r="C379" t="s">
        <v>1091</v>
      </c>
      <c r="D379">
        <v>2015</v>
      </c>
      <c r="E379" t="s">
        <v>1082</v>
      </c>
      <c r="F379" t="str">
        <f>HYPERLINK("https://www.szaktars.hu/harmattan/view/a-transzcendentalpragmatikai-diskurzuselmelet-eloadasok-es-vitairatok-1986-1998/", "https://www.szaktars.hu/harmattan/view/a-transzcendentalpragmatikai-diskurzuselmelet-eloadasok-es-vitairatok-1986-1998/")</f>
        <v>https://www.szaktars.hu/harmattan/view/a-transzcendentalpragmatikai-diskurzuselmelet-eloadasok-es-vitairatok-1986-1998/</v>
      </c>
    </row>
    <row r="380" spans="1:6" x14ac:dyDescent="0.25">
      <c r="A380" t="s">
        <v>1092</v>
      </c>
      <c r="B380" t="s">
        <v>1093</v>
      </c>
      <c r="C380" t="s">
        <v>1094</v>
      </c>
      <c r="D380">
        <v>2010</v>
      </c>
      <c r="E380" t="s">
        <v>1082</v>
      </c>
      <c r="F380" t="str">
        <f>HYPERLINK("https://www.szaktars.hu/harmattan/view/a-termeszet/", "https://www.szaktars.hu/harmattan/view/a-termeszet/")</f>
        <v>https://www.szaktars.hu/harmattan/view/a-termeszet/</v>
      </c>
    </row>
    <row r="381" spans="1:6" x14ac:dyDescent="0.25">
      <c r="A381" t="s">
        <v>1095</v>
      </c>
      <c r="B381" t="s">
        <v>1096</v>
      </c>
      <c r="C381" t="s">
        <v>1097</v>
      </c>
      <c r="D381">
        <v>2005</v>
      </c>
      <c r="E381" t="s">
        <v>1082</v>
      </c>
      <c r="F381" t="str">
        <f>HYPERLINK("https://www.szaktars.hu/harmattan/view/demokracia-es-totalitarizmus/", "https://www.szaktars.hu/harmattan/view/demokracia-es-totalitarizmus/")</f>
        <v>https://www.szaktars.hu/harmattan/view/demokracia-es-totalitarizmus/</v>
      </c>
    </row>
    <row r="382" spans="1:6" x14ac:dyDescent="0.25">
      <c r="A382" t="s">
        <v>1098</v>
      </c>
      <c r="B382" t="s">
        <v>1099</v>
      </c>
      <c r="C382" t="s">
        <v>1100</v>
      </c>
      <c r="D382">
        <v>2011</v>
      </c>
      <c r="E382" t="s">
        <v>1082</v>
      </c>
      <c r="F382" t="str">
        <f>HYPERLINK("https://www.szaktars.hu/harmattan/view/perlekedo-rokonok-analitikusfilozofia-es-fenomenologia/", "https://www.szaktars.hu/harmattan/view/perlekedo-rokonok-analitikusfilozofia-es-fenomenologia/")</f>
        <v>https://www.szaktars.hu/harmattan/view/perlekedo-rokonok-analitikusfilozofia-es-fenomenologia/</v>
      </c>
    </row>
    <row r="383" spans="1:6" x14ac:dyDescent="0.25">
      <c r="A383" t="s">
        <v>1101</v>
      </c>
      <c r="B383" t="s">
        <v>1102</v>
      </c>
      <c r="C383" t="s">
        <v>1103</v>
      </c>
      <c r="D383">
        <v>2012</v>
      </c>
      <c r="E383" t="s">
        <v>1082</v>
      </c>
      <c r="F383" t="str">
        <f>HYPERLINK("https://www.szaktars.hu/harmattan/view/korunk-iranytuje-a-caritas-in-veritate-kezdetu-enciklika-jelentosegerol-scintillae-sapientiae-2/", "https://www.szaktars.hu/harmattan/view/korunk-iranytuje-a-caritas-in-veritate-kezdetu-enciklika-jelentosegerol-scintillae-sapientiae-2/")</f>
        <v>https://www.szaktars.hu/harmattan/view/korunk-iranytuje-a-caritas-in-veritate-kezdetu-enciklika-jelentosegerol-scintillae-sapientiae-2/</v>
      </c>
    </row>
    <row r="384" spans="1:6" x14ac:dyDescent="0.25">
      <c r="A384" t="s">
        <v>1104</v>
      </c>
      <c r="B384" t="s">
        <v>1102</v>
      </c>
      <c r="C384" t="s">
        <v>1105</v>
      </c>
      <c r="D384">
        <v>2011</v>
      </c>
      <c r="E384" t="s">
        <v>1082</v>
      </c>
      <c r="F384" t="str">
        <f>HYPERLINK("https://www.szaktars.hu/harmattan/view/teoria-es-praxis-kozott-avagy-a-filozofia-gyakorlati-arcarol/", "https://www.szaktars.hu/harmattan/view/teoria-es-praxis-kozott-avagy-a-filozofia-gyakorlati-arcarol/")</f>
        <v>https://www.szaktars.hu/harmattan/view/teoria-es-praxis-kozott-avagy-a-filozofia-gyakorlati-arcarol/</v>
      </c>
    </row>
    <row r="385" spans="1:6" x14ac:dyDescent="0.25">
      <c r="A385" t="s">
        <v>1106</v>
      </c>
      <c r="B385" t="s">
        <v>1107</v>
      </c>
      <c r="C385" t="s">
        <v>1108</v>
      </c>
      <c r="D385">
        <v>2009</v>
      </c>
      <c r="E385" t="s">
        <v>1082</v>
      </c>
      <c r="F385" t="str">
        <f>HYPERLINK("https://www.szaktars.hu/harmattan/view/a-szellem-es-az-ido-identitas-cselekves-es-temporalitas-hegelnel-a-szellem-fenomenologiajaban/", "https://www.szaktars.hu/harmattan/view/a-szellem-es-az-ido-identitas-cselekves-es-temporalitas-hegelnel-a-szellem-fenomenologiajaban/")</f>
        <v>https://www.szaktars.hu/harmattan/view/a-szellem-es-az-ido-identitas-cselekves-es-temporalitas-hegelnel-a-szellem-fenomenologiajaban/</v>
      </c>
    </row>
    <row r="386" spans="1:6" x14ac:dyDescent="0.25">
      <c r="A386" t="s">
        <v>1109</v>
      </c>
      <c r="B386" t="s">
        <v>1110</v>
      </c>
      <c r="C386" t="s">
        <v>1111</v>
      </c>
      <c r="D386">
        <v>2010</v>
      </c>
      <c r="E386" t="s">
        <v>1082</v>
      </c>
      <c r="F386" t="str">
        <f>HYPERLINK("https://www.szaktars.hu/harmattan/view/a-tudom-is-en-micsoda-fogalma/", "https://www.szaktars.hu/harmattan/view/a-tudom-is-en-micsoda-fogalma/")</f>
        <v>https://www.szaktars.hu/harmattan/view/a-tudom-is-en-micsoda-fogalma/</v>
      </c>
    </row>
    <row r="387" spans="1:6" x14ac:dyDescent="0.25">
      <c r="A387" t="s">
        <v>1112</v>
      </c>
      <c r="B387" t="s">
        <v>1113</v>
      </c>
      <c r="C387" t="s">
        <v>1114</v>
      </c>
      <c r="D387">
        <v>2014</v>
      </c>
      <c r="E387" t="s">
        <v>1082</v>
      </c>
      <c r="F387" t="str">
        <f>HYPERLINK("https://www.szaktars.hu/harmattan/view/a-hamis-alef-kezdet-es-temporalitas/", "https://www.szaktars.hu/harmattan/view/a-hamis-alef-kezdet-es-temporalitas/")</f>
        <v>https://www.szaktars.hu/harmattan/view/a-hamis-alef-kezdet-es-temporalitas/</v>
      </c>
    </row>
    <row r="388" spans="1:6" x14ac:dyDescent="0.25">
      <c r="A388" t="s">
        <v>1115</v>
      </c>
      <c r="B388" t="s">
        <v>1116</v>
      </c>
      <c r="C388" t="s">
        <v>1117</v>
      </c>
      <c r="D388">
        <v>2007</v>
      </c>
      <c r="E388" t="s">
        <v>1082</v>
      </c>
      <c r="F388" t="str">
        <f>HYPERLINK("https://www.szaktars.hu/harmattan/view/valogatott-politikai-filozofiai-tanulmanyok-1990-2006/", "https://www.szaktars.hu/harmattan/view/valogatott-politikai-filozofiai-tanulmanyok-1990-2006/")</f>
        <v>https://www.szaktars.hu/harmattan/view/valogatott-politikai-filozofiai-tanulmanyok-1990-2006/</v>
      </c>
    </row>
    <row r="389" spans="1:6" x14ac:dyDescent="0.25">
      <c r="A389" t="s">
        <v>1118</v>
      </c>
      <c r="B389" t="s">
        <v>1119</v>
      </c>
      <c r="C389" t="s">
        <v>1120</v>
      </c>
      <c r="D389">
        <v>2012</v>
      </c>
      <c r="E389" t="s">
        <v>1082</v>
      </c>
      <c r="F389" t="str">
        <f>HYPERLINK("https://www.szaktars.hu/harmattan/view/a-gondolkodas-es-a-mozgo-esszek-es-eloadasok/", "https://www.szaktars.hu/harmattan/view/a-gondolkodas-es-a-mozgo-esszek-es-eloadasok/")</f>
        <v>https://www.szaktars.hu/harmattan/view/a-gondolkodas-es-a-mozgo-esszek-es-eloadasok/</v>
      </c>
    </row>
    <row r="390" spans="1:6" x14ac:dyDescent="0.25">
      <c r="A390" t="s">
        <v>1121</v>
      </c>
      <c r="B390" t="s">
        <v>1122</v>
      </c>
      <c r="C390" t="s">
        <v>1123</v>
      </c>
      <c r="D390">
        <v>2006</v>
      </c>
      <c r="E390" t="s">
        <v>1082</v>
      </c>
      <c r="F390" t="str">
        <f>HYPERLINK("https://www.szaktars.hu/harmattan/view/tanulmany-az-emberi-megismeres-alapelveirol-es-mas-irasok/", "https://www.szaktars.hu/harmattan/view/tanulmany-az-emberi-megismeres-alapelveirol-es-mas-irasok/")</f>
        <v>https://www.szaktars.hu/harmattan/view/tanulmany-az-emberi-megismeres-alapelveirol-es-mas-irasok/</v>
      </c>
    </row>
    <row r="391" spans="1:6" x14ac:dyDescent="0.25">
      <c r="A391" t="s">
        <v>1124</v>
      </c>
      <c r="B391" t="s">
        <v>1125</v>
      </c>
      <c r="C391" t="s">
        <v>1126</v>
      </c>
      <c r="D391">
        <v>2007</v>
      </c>
      <c r="E391" t="s">
        <v>1082</v>
      </c>
      <c r="F391" t="str">
        <f>HYPERLINK("https://www.szaktars.hu/harmattan/view/kuhn-es-a-relativizmus-/", "https://www.szaktars.hu/harmattan/view/kuhn-es-a-relativizmus-/")</f>
        <v>https://www.szaktars.hu/harmattan/view/kuhn-es-a-relativizmus-/</v>
      </c>
    </row>
    <row r="392" spans="1:6" x14ac:dyDescent="0.25">
      <c r="A392" t="s">
        <v>1127</v>
      </c>
      <c r="B392" t="s">
        <v>1128</v>
      </c>
      <c r="C392" t="s">
        <v>1129</v>
      </c>
      <c r="D392">
        <v>2008</v>
      </c>
      <c r="E392" t="s">
        <v>1082</v>
      </c>
      <c r="F392" t="str">
        <f>HYPERLINK("https://www.szaktars.hu/harmattan/view/a-programozott-evolucio-az-ember-megjeleneseig/", "https://www.szaktars.hu/harmattan/view/a-programozott-evolucio-az-ember-megjeleneseig/")</f>
        <v>https://www.szaktars.hu/harmattan/view/a-programozott-evolucio-az-ember-megjeleneseig/</v>
      </c>
    </row>
    <row r="393" spans="1:6" x14ac:dyDescent="0.25">
      <c r="A393" t="s">
        <v>1130</v>
      </c>
      <c r="B393" t="s">
        <v>1128</v>
      </c>
      <c r="C393" t="s">
        <v>1131</v>
      </c>
      <c r="D393">
        <v>2009</v>
      </c>
      <c r="E393" t="s">
        <v>1082</v>
      </c>
      <c r="F393" t="str">
        <f>HYPERLINK("https://www.szaktars.hu/harmattan/view/programozott-evolucio-es-teremtes-2-az-ember-szarmazasa-es-kiemelt-szerepe-a-vilagban-hit-es-tudomany/", "https://www.szaktars.hu/harmattan/view/programozott-evolucio-es-teremtes-2-az-ember-szarmazasa-es-kiemelt-szerepe-a-vilagban-hit-es-tudomany/")</f>
        <v>https://www.szaktars.hu/harmattan/view/programozott-evolucio-es-teremtes-2-az-ember-szarmazasa-es-kiemelt-szerepe-a-vilagban-hit-es-tudomany/</v>
      </c>
    </row>
    <row r="394" spans="1:6" x14ac:dyDescent="0.25">
      <c r="A394" t="s">
        <v>1132</v>
      </c>
      <c r="B394" t="s">
        <v>1133</v>
      </c>
      <c r="C394" t="s">
        <v>1134</v>
      </c>
      <c r="D394">
        <v>2007</v>
      </c>
      <c r="E394" t="s">
        <v>1082</v>
      </c>
      <c r="F394" t="str">
        <f>HYPERLINK("https://www.szaktars.hu/harmattan/view/az-emberi-tudatossag-filozofiai-problemak-es-megoldasok/", "https://www.szaktars.hu/harmattan/view/az-emberi-tudatossag-filozofiai-problemak-es-megoldasok/")</f>
        <v>https://www.szaktars.hu/harmattan/view/az-emberi-tudatossag-filozofiai-problemak-es-megoldasok/</v>
      </c>
    </row>
    <row r="395" spans="1:6" x14ac:dyDescent="0.25">
      <c r="A395" t="s">
        <v>1135</v>
      </c>
      <c r="B395" t="s">
        <v>1136</v>
      </c>
      <c r="C395" t="s">
        <v>1137</v>
      </c>
      <c r="D395">
        <v>2008</v>
      </c>
      <c r="E395" t="s">
        <v>1082</v>
      </c>
      <c r="F395" t="str">
        <f>HYPERLINK("https://www.szaktars.hu/harmattan/view/transzcendencia-es-megertes-etika-es-metafizika-levinas-filozofiajaban/", "https://www.szaktars.hu/harmattan/view/transzcendencia-es-megertes-etika-es-metafizika-levinas-filozofiajaban/")</f>
        <v>https://www.szaktars.hu/harmattan/view/transzcendencia-es-megertes-etika-es-metafizika-levinas-filozofiajaban/</v>
      </c>
    </row>
    <row r="396" spans="1:6" x14ac:dyDescent="0.25">
      <c r="A396" t="s">
        <v>1138</v>
      </c>
      <c r="B396" t="s">
        <v>1139</v>
      </c>
      <c r="C396" t="s">
        <v>1140</v>
      </c>
      <c r="D396">
        <v>2010</v>
      </c>
      <c r="E396" t="s">
        <v>1082</v>
      </c>
      <c r="F396" t="str">
        <f>HYPERLINK("https://www.szaktars.hu/harmattan/view/a-hetvenes-evek-filozofiai-lehetosegei-es-valosaga/", "https://www.szaktars.hu/harmattan/view/a-hetvenes-evek-filozofiai-lehetosegei-es-valosaga/")</f>
        <v>https://www.szaktars.hu/harmattan/view/a-hetvenes-evek-filozofiai-lehetosegei-es-valosaga/</v>
      </c>
    </row>
    <row r="397" spans="1:6" x14ac:dyDescent="0.25">
      <c r="A397" t="s">
        <v>1141</v>
      </c>
      <c r="B397" t="s">
        <v>1142</v>
      </c>
      <c r="C397" t="s">
        <v>1143</v>
      </c>
      <c r="D397">
        <v>2012</v>
      </c>
      <c r="E397" t="s">
        <v>1082</v>
      </c>
      <c r="F397" t="str">
        <f>HYPERLINK("https://www.szaktars.hu/harmattan/view/az-erzelmek-filozofiaja-szisztematikus-torteneti-tanulmanyok/", "https://www.szaktars.hu/harmattan/view/az-erzelmek-filozofiaja-szisztematikus-torteneti-tanulmanyok/")</f>
        <v>https://www.szaktars.hu/harmattan/view/az-erzelmek-filozofiaja-szisztematikus-torteneti-tanulmanyok/</v>
      </c>
    </row>
    <row r="398" spans="1:6" x14ac:dyDescent="0.25">
      <c r="A398" t="s">
        <v>1144</v>
      </c>
      <c r="B398" t="s">
        <v>1145</v>
      </c>
      <c r="C398" t="s">
        <v>1146</v>
      </c>
      <c r="D398">
        <v>2016</v>
      </c>
      <c r="E398" t="s">
        <v>1082</v>
      </c>
      <c r="F398" t="str">
        <f>HYPERLINK("https://www.szaktars.hu/harmattan/view/a-forradalom-vegtelensege-lukacs-gyorgy-politika-es-tarsadalomelmelete/", "https://www.szaktars.hu/harmattan/view/a-forradalom-vegtelensege-lukacs-gyorgy-politika-es-tarsadalomelmelete/")</f>
        <v>https://www.szaktars.hu/harmattan/view/a-forradalom-vegtelensege-lukacs-gyorgy-politika-es-tarsadalomelmelete/</v>
      </c>
    </row>
    <row r="399" spans="1:6" x14ac:dyDescent="0.25">
      <c r="A399" t="s">
        <v>1147</v>
      </c>
      <c r="B399" t="s">
        <v>1148</v>
      </c>
      <c r="C399" t="s">
        <v>1149</v>
      </c>
      <c r="D399">
        <v>2015</v>
      </c>
      <c r="E399" t="s">
        <v>1082</v>
      </c>
      <c r="F399" t="str">
        <f>HYPERLINK("https://www.szaktars.hu/harmattan/view/freud-es-heidegger-daseinanalitikai-neurozistan-es-pszichoterapia/", "https://www.szaktars.hu/harmattan/view/freud-es-heidegger-daseinanalitikai-neurozistan-es-pszichoterapia/")</f>
        <v>https://www.szaktars.hu/harmattan/view/freud-es-heidegger-daseinanalitikai-neurozistan-es-pszichoterapia/</v>
      </c>
    </row>
    <row r="400" spans="1:6" x14ac:dyDescent="0.25">
      <c r="A400" t="s">
        <v>1150</v>
      </c>
      <c r="B400" t="s">
        <v>1151</v>
      </c>
      <c r="C400" t="s">
        <v>1152</v>
      </c>
      <c r="D400">
        <v>2016</v>
      </c>
      <c r="E400" t="s">
        <v>1082</v>
      </c>
      <c r="F400" t="str">
        <f>HYPERLINK("https://www.szaktars.hu/harmattan/view/de-pace-fidei-a-vallasbekerol/", "https://www.szaktars.hu/harmattan/view/de-pace-fidei-a-vallasbekerol/")</f>
        <v>https://www.szaktars.hu/harmattan/view/de-pace-fidei-a-vallasbekerol/</v>
      </c>
    </row>
    <row r="401" spans="1:6" x14ac:dyDescent="0.25">
      <c r="A401" t="s">
        <v>1153</v>
      </c>
      <c r="B401" t="s">
        <v>1154</v>
      </c>
      <c r="C401" t="s">
        <v>1155</v>
      </c>
      <c r="D401">
        <v>2001</v>
      </c>
      <c r="E401" t="s">
        <v>1082</v>
      </c>
      <c r="F401" t="str">
        <f>HYPERLINK("https://www.szaktars.hu/harmattan/view/hit-es-egzisztencia-tanulmany-soren-kierkegaard-hitfelfogasarol/", "https://www.szaktars.hu/harmattan/view/hit-es-egzisztencia-tanulmany-soren-kierkegaard-hitfelfogasarol/")</f>
        <v>https://www.szaktars.hu/harmattan/view/hit-es-egzisztencia-tanulmany-soren-kierkegaard-hitfelfogasarol/</v>
      </c>
    </row>
    <row r="402" spans="1:6" x14ac:dyDescent="0.25">
      <c r="A402" t="s">
        <v>1156</v>
      </c>
      <c r="B402" t="s">
        <v>1154</v>
      </c>
      <c r="C402" t="s">
        <v>1157</v>
      </c>
      <c r="D402">
        <v>2016</v>
      </c>
      <c r="E402" t="s">
        <v>1082</v>
      </c>
      <c r="F402" t="str">
        <f>HYPERLINK("https://www.szaktars.hu/harmattan/view/paradoxes-of-existence-contributions-to-kierkegaard-research/", "https://www.szaktars.hu/harmattan/view/paradoxes-of-existence-contributions-to-kierkegaard-research/")</f>
        <v>https://www.szaktars.hu/harmattan/view/paradoxes-of-existence-contributions-to-kierkegaard-research/</v>
      </c>
    </row>
    <row r="403" spans="1:6" x14ac:dyDescent="0.25">
      <c r="A403" t="s">
        <v>1158</v>
      </c>
      <c r="B403" t="s">
        <v>1159</v>
      </c>
      <c r="C403" t="s">
        <v>1160</v>
      </c>
      <c r="D403">
        <v>2013</v>
      </c>
      <c r="E403" t="s">
        <v>1082</v>
      </c>
      <c r="F403" t="str">
        <f>HYPERLINK("https://www.szaktars.hu/harmattan/view/fjodor-mihajlovics-nietzky-szeljegyzetek-a-kesei-nietzsche-nihilizmus-es-esztetikumkepehez/", "https://www.szaktars.hu/harmattan/view/fjodor-mihajlovics-nietzky-szeljegyzetek-a-kesei-nietzsche-nihilizmus-es-esztetikumkepehez/")</f>
        <v>https://www.szaktars.hu/harmattan/view/fjodor-mihajlovics-nietzky-szeljegyzetek-a-kesei-nietzsche-nihilizmus-es-esztetikumkepehez/</v>
      </c>
    </row>
    <row r="404" spans="1:6" x14ac:dyDescent="0.25">
      <c r="A404" t="s">
        <v>1161</v>
      </c>
      <c r="B404" t="s">
        <v>1162</v>
      </c>
      <c r="C404" t="s">
        <v>1163</v>
      </c>
      <c r="D404">
        <v>2015</v>
      </c>
      <c r="E404" t="s">
        <v>1082</v>
      </c>
      <c r="F404" t="str">
        <f>HYPERLINK("https://www.szaktars.hu/harmattan/view/a-transzcendentalis-illuzio-keletkezese-es-tortenete-harom-szintezis-harca-egy-egyseges-valosagert/", "https://www.szaktars.hu/harmattan/view/a-transzcendentalis-illuzio-keletkezese-es-tortenete-harom-szintezis-harca-egy-egyseges-valosagert/")</f>
        <v>https://www.szaktars.hu/harmattan/view/a-transzcendentalis-illuzio-keletkezese-es-tortenete-harom-szintezis-harca-egy-egyseges-valosagert/</v>
      </c>
    </row>
    <row r="405" spans="1:6" x14ac:dyDescent="0.25">
      <c r="A405" t="s">
        <v>1164</v>
      </c>
      <c r="B405" t="s">
        <v>1165</v>
      </c>
      <c r="C405" t="s">
        <v>1166</v>
      </c>
      <c r="D405">
        <v>2011</v>
      </c>
      <c r="E405" t="s">
        <v>1082</v>
      </c>
      <c r="F405" t="str">
        <f>HYPERLINK("https://www.szaktars.hu/harmattan/view/a-halal-filozofiai-megszolitasai-soren-kierkegaard-max-scheler-georg-simmel-miguel-de-unamuno-irasai-a-halalrol/", "https://www.szaktars.hu/harmattan/view/a-halal-filozofiai-megszolitasai-soren-kierkegaard-max-scheler-georg-simmel-miguel-de-unamuno-irasai-a-halalrol/")</f>
        <v>https://www.szaktars.hu/harmattan/view/a-halal-filozofiai-megszolitasai-soren-kierkegaard-max-scheler-georg-simmel-miguel-de-unamuno-irasai-a-halalrol/</v>
      </c>
    </row>
    <row r="406" spans="1:6" x14ac:dyDescent="0.25">
      <c r="A406" t="s">
        <v>1167</v>
      </c>
      <c r="B406" t="s">
        <v>1168</v>
      </c>
      <c r="C406" t="s">
        <v>1169</v>
      </c>
      <c r="D406">
        <v>2016</v>
      </c>
      <c r="E406" t="s">
        <v>1082</v>
      </c>
      <c r="F406" t="str">
        <f>HYPERLINK("https://www.szaktars.hu/harmattan/view/szabadsag/", "https://www.szaktars.hu/harmattan/view/szabadsag/")</f>
        <v>https://www.szaktars.hu/harmattan/view/szabadsag/</v>
      </c>
    </row>
    <row r="407" spans="1:6" x14ac:dyDescent="0.25">
      <c r="A407" t="s">
        <v>1170</v>
      </c>
      <c r="B407" t="s">
        <v>1168</v>
      </c>
      <c r="C407" t="s">
        <v>1171</v>
      </c>
      <c r="D407">
        <v>2015</v>
      </c>
      <c r="E407" t="s">
        <v>1082</v>
      </c>
      <c r="F407" t="str">
        <f>HYPERLINK("https://www.szaktars.hu/harmattan/view/igaz-szo-igaz-elet-a-kesei-foucault-es-az-igazsag-tortenete/", "https://www.szaktars.hu/harmattan/view/igaz-szo-igaz-elet-a-kesei-foucault-es-az-igazsag-tortenete/")</f>
        <v>https://www.szaktars.hu/harmattan/view/igaz-szo-igaz-elet-a-kesei-foucault-es-az-igazsag-tortenete/</v>
      </c>
    </row>
    <row r="408" spans="1:6" x14ac:dyDescent="0.25">
      <c r="A408" t="s">
        <v>1172</v>
      </c>
      <c r="B408" t="s">
        <v>1173</v>
      </c>
      <c r="C408" t="s">
        <v>1174</v>
      </c>
      <c r="D408">
        <v>2008</v>
      </c>
      <c r="E408" t="s">
        <v>1082</v>
      </c>
      <c r="F408" t="str">
        <f>HYPERLINK("https://www.szaktars.hu/harmattan/view/elo-gondolkodas-a-folyamatfilozofia-klasszikusai-hegel-es-whitehead/", "https://www.szaktars.hu/harmattan/view/elo-gondolkodas-a-folyamatfilozofia-klasszikusai-hegel-es-whitehead/")</f>
        <v>https://www.szaktars.hu/harmattan/view/elo-gondolkodas-a-folyamatfilozofia-klasszikusai-hegel-es-whitehead/</v>
      </c>
    </row>
    <row r="409" spans="1:6" x14ac:dyDescent="0.25">
      <c r="A409" t="s">
        <v>1175</v>
      </c>
      <c r="B409" t="s">
        <v>1176</v>
      </c>
      <c r="C409" t="s">
        <v>1177</v>
      </c>
      <c r="D409">
        <v>2009</v>
      </c>
      <c r="E409" t="s">
        <v>1082</v>
      </c>
      <c r="F409" t="str">
        <f>HYPERLINK("https://www.szaktars.hu/harmattan/view/szubjektiv-tudas-objektiv-tudomany/", "https://www.szaktars.hu/harmattan/view/szubjektiv-tudas-objektiv-tudomany/")</f>
        <v>https://www.szaktars.hu/harmattan/view/szubjektiv-tudas-objektiv-tudomany/</v>
      </c>
    </row>
    <row r="410" spans="1:6" x14ac:dyDescent="0.25">
      <c r="A410" t="s">
        <v>1178</v>
      </c>
      <c r="B410" t="s">
        <v>1179</v>
      </c>
      <c r="C410" t="s">
        <v>1180</v>
      </c>
      <c r="D410">
        <v>2014</v>
      </c>
      <c r="E410" t="s">
        <v>1082</v>
      </c>
      <c r="F410" t="str">
        <f>HYPERLINK("https://www.szaktars.hu/harmattan/view/meredek-sziklagerinc-husserl-es-a-valsag-problemaja/", "https://www.szaktars.hu/harmattan/view/meredek-sziklagerinc-husserl-es-a-valsag-problemaja/")</f>
        <v>https://www.szaktars.hu/harmattan/view/meredek-sziklagerinc-husserl-es-a-valsag-problemaja/</v>
      </c>
    </row>
    <row r="411" spans="1:6" x14ac:dyDescent="0.25">
      <c r="A411" t="s">
        <v>1181</v>
      </c>
      <c r="B411" t="s">
        <v>1182</v>
      </c>
      <c r="C411" t="s">
        <v>1183</v>
      </c>
      <c r="D411">
        <v>2016</v>
      </c>
      <c r="E411" t="s">
        <v>1082</v>
      </c>
      <c r="F411" t="str">
        <f>HYPERLINK("https://www.szaktars.hu/harmattan/view/parbeszedek/", "https://www.szaktars.hu/harmattan/view/parbeszedek/")</f>
        <v>https://www.szaktars.hu/harmattan/view/parbeszedek/</v>
      </c>
    </row>
    <row r="412" spans="1:6" x14ac:dyDescent="0.25">
      <c r="A412" t="s">
        <v>1184</v>
      </c>
      <c r="B412" t="s">
        <v>1185</v>
      </c>
      <c r="C412" t="s">
        <v>1186</v>
      </c>
      <c r="D412">
        <v>2015</v>
      </c>
      <c r="E412" t="s">
        <v>1082</v>
      </c>
      <c r="F412" t="str">
        <f>HYPERLINK("https://www.szaktars.hu/harmattan/view/bitangok-ket-essze-az-eszrol/", "https://www.szaktars.hu/harmattan/view/bitangok-ket-essze-az-eszrol/")</f>
        <v>https://www.szaktars.hu/harmattan/view/bitangok-ket-essze-az-eszrol/</v>
      </c>
    </row>
    <row r="413" spans="1:6" x14ac:dyDescent="0.25">
      <c r="A413" t="s">
        <v>1187</v>
      </c>
      <c r="B413" t="s">
        <v>1185</v>
      </c>
      <c r="C413" t="s">
        <v>1188</v>
      </c>
      <c r="D413">
        <v>2016</v>
      </c>
      <c r="E413" t="s">
        <v>1082</v>
      </c>
      <c r="F413" t="str">
        <f>HYPERLINK("https://www.szaktars.hu/harmattan/view/torvenyero-a-tekintely-misztikus-alapja/", "https://www.szaktars.hu/harmattan/view/torvenyero-a-tekintely-misztikus-alapja/")</f>
        <v>https://www.szaktars.hu/harmattan/view/torvenyero-a-tekintely-misztikus-alapja/</v>
      </c>
    </row>
    <row r="414" spans="1:6" x14ac:dyDescent="0.25">
      <c r="A414" t="s">
        <v>1189</v>
      </c>
      <c r="B414" t="s">
        <v>1190</v>
      </c>
      <c r="C414" t="s">
        <v>1191</v>
      </c>
      <c r="D414">
        <v>2012</v>
      </c>
      <c r="E414" t="s">
        <v>1082</v>
      </c>
      <c r="F414" t="str">
        <f>HYPERLINK("https://www.szaktars.hu/harmattan/view/a-lelek-szenvedelyei-es-mas-irasok/", "https://www.szaktars.hu/harmattan/view/a-lelek-szenvedelyei-es-mas-irasok/")</f>
        <v>https://www.szaktars.hu/harmattan/view/a-lelek-szenvedelyei-es-mas-irasok/</v>
      </c>
    </row>
    <row r="415" spans="1:6" x14ac:dyDescent="0.25">
      <c r="A415" t="s">
        <v>1192</v>
      </c>
      <c r="B415" t="s">
        <v>1193</v>
      </c>
      <c r="C415" t="s">
        <v>1194</v>
      </c>
      <c r="D415">
        <v>2016</v>
      </c>
      <c r="E415" t="s">
        <v>1082</v>
      </c>
      <c r="F415" t="str">
        <f>HYPERLINK("https://www.szaktars.hu/harmattan/view/az-ugyanaz-es-a-mas-negyvenot-ev-francia-filozofiaja-1933-1978/", "https://www.szaktars.hu/harmattan/view/az-ugyanaz-es-a-mas-negyvenot-ev-francia-filozofiaja-1933-1978/")</f>
        <v>https://www.szaktars.hu/harmattan/view/az-ugyanaz-es-a-mas-negyvenot-ev-francia-filozofiaja-1933-1978/</v>
      </c>
    </row>
    <row r="416" spans="1:6" x14ac:dyDescent="0.25">
      <c r="A416" t="s">
        <v>1195</v>
      </c>
      <c r="B416" t="s">
        <v>1196</v>
      </c>
      <c r="C416" t="s">
        <v>1197</v>
      </c>
      <c r="D416">
        <v>2013</v>
      </c>
      <c r="E416" t="s">
        <v>1082</v>
      </c>
      <c r="F416" t="str">
        <f>HYPERLINK("https://www.szaktars.hu/harmattan/view/esztetika-filozofia-politika/", "https://www.szaktars.hu/harmattan/view/esztetika-filozofia-politika/")</f>
        <v>https://www.szaktars.hu/harmattan/view/esztetika-filozofia-politika/</v>
      </c>
    </row>
    <row r="417" spans="1:6" x14ac:dyDescent="0.25">
      <c r="A417" t="s">
        <v>1198</v>
      </c>
      <c r="B417" t="s">
        <v>1199</v>
      </c>
      <c r="C417" t="s">
        <v>1200</v>
      </c>
      <c r="D417">
        <v>2016</v>
      </c>
      <c r="E417" t="s">
        <v>1082</v>
      </c>
      <c r="F417" t="str">
        <f>HYPERLINK("https://www.szaktars.hu/harmattan/view/nihilizmustol-a-krizeologiaig-valsagertelmezesek-a-xx-szazadi-magyar-filozofiaban/", "https://www.szaktars.hu/harmattan/view/nihilizmustol-a-krizeologiaig-valsagertelmezesek-a-xx-szazadi-magyar-filozofiaban/")</f>
        <v>https://www.szaktars.hu/harmattan/view/nihilizmustol-a-krizeologiaig-valsagertelmezesek-a-xx-szazadi-magyar-filozofiaban/</v>
      </c>
    </row>
    <row r="418" spans="1:6" x14ac:dyDescent="0.25">
      <c r="A418" t="s">
        <v>1201</v>
      </c>
      <c r="B418" t="s">
        <v>1202</v>
      </c>
      <c r="C418" t="s">
        <v>1203</v>
      </c>
      <c r="D418">
        <v>2013</v>
      </c>
      <c r="E418" t="s">
        <v>1082</v>
      </c>
      <c r="F418" t="str">
        <f>HYPERLINK("https://www.szaktars.hu/harmattan/view/szot-erteni-egymassal-hermeneutika-tudomanyok-dialogus/", "https://www.szaktars.hu/harmattan/view/szot-erteni-egymassal-hermeneutika-tudomanyok-dialogus/")</f>
        <v>https://www.szaktars.hu/harmattan/view/szot-erteni-egymassal-hermeneutika-tudomanyok-dialogus/</v>
      </c>
    </row>
    <row r="419" spans="1:6" x14ac:dyDescent="0.25">
      <c r="A419" t="s">
        <v>1204</v>
      </c>
      <c r="B419" t="s">
        <v>1205</v>
      </c>
      <c r="C419" t="s">
        <v>1206</v>
      </c>
      <c r="D419">
        <v>2001</v>
      </c>
      <c r="E419" t="s">
        <v>1082</v>
      </c>
      <c r="F419" t="str">
        <f>HYPERLINK("https://www.szaktars.hu/harmattan/view/hermeneutikai-tanulmanyok-i/", "https://www.szaktars.hu/harmattan/view/hermeneutikai-tanulmanyok-i/")</f>
        <v>https://www.szaktars.hu/harmattan/view/hermeneutikai-tanulmanyok-i/</v>
      </c>
    </row>
    <row r="420" spans="1:6" x14ac:dyDescent="0.25">
      <c r="A420" t="s">
        <v>1207</v>
      </c>
      <c r="B420" t="s">
        <v>1208</v>
      </c>
      <c r="C420" t="s">
        <v>1209</v>
      </c>
      <c r="D420">
        <v>2015</v>
      </c>
      <c r="E420" t="s">
        <v>1082</v>
      </c>
      <c r="F420" t="str">
        <f>HYPERLINK("https://www.szaktars.hu/harmattan/view/vitaban-egymassal-filozofusok-disputai-kontroverziai/", "https://www.szaktars.hu/harmattan/view/vitaban-egymassal-filozofusok-disputai-kontroverziai/")</f>
        <v>https://www.szaktars.hu/harmattan/view/vitaban-egymassal-filozofusok-disputai-kontroverziai/</v>
      </c>
    </row>
    <row r="421" spans="1:6" x14ac:dyDescent="0.25">
      <c r="A421" t="s">
        <v>1210</v>
      </c>
      <c r="B421" t="s">
        <v>1211</v>
      </c>
      <c r="C421" t="s">
        <v>1212</v>
      </c>
      <c r="D421">
        <v>2004</v>
      </c>
      <c r="E421" t="s">
        <v>1082</v>
      </c>
      <c r="F421" t="str">
        <f>HYPERLINK("https://www.szaktars.hu/harmattan/view/tudas-az-idoben-tudomanytorteneti-es-tudomanyfilozofiai-evkonyv-11/", "https://www.szaktars.hu/harmattan/view/tudas-az-idoben-tudomanytorteneti-es-tudomanyfilozofiai-evkonyv-11/")</f>
        <v>https://www.szaktars.hu/harmattan/view/tudas-az-idoben-tudomanytorteneti-es-tudomanyfilozofiai-evkonyv-11/</v>
      </c>
    </row>
    <row r="422" spans="1:6" x14ac:dyDescent="0.25">
      <c r="A422" t="s">
        <v>1213</v>
      </c>
      <c r="B422" t="s">
        <v>1214</v>
      </c>
      <c r="C422" t="s">
        <v>1215</v>
      </c>
      <c r="D422">
        <v>2006</v>
      </c>
      <c r="E422" t="s">
        <v>1082</v>
      </c>
      <c r="F422" t="str">
        <f>HYPERLINK("https://www.szaktars.hu/harmattan/view/ertelem-es-tortenelem/", "https://www.szaktars.hu/harmattan/view/ertelem-es-tortenelem/")</f>
        <v>https://www.szaktars.hu/harmattan/view/ertelem-es-tortenelem/</v>
      </c>
    </row>
    <row r="423" spans="1:6" x14ac:dyDescent="0.25">
      <c r="A423" t="s">
        <v>1216</v>
      </c>
      <c r="B423" t="s">
        <v>1217</v>
      </c>
      <c r="C423" t="s">
        <v>1218</v>
      </c>
      <c r="D423">
        <v>2015</v>
      </c>
      <c r="E423" t="s">
        <v>1082</v>
      </c>
      <c r="F423" t="str">
        <f>HYPERLINK("https://www.szaktars.hu/harmattan/view/is-a-universal-morality-possible/", "https://www.szaktars.hu/harmattan/view/is-a-universal-morality-possible/")</f>
        <v>https://www.szaktars.hu/harmattan/view/is-a-universal-morality-possible/</v>
      </c>
    </row>
    <row r="424" spans="1:6" x14ac:dyDescent="0.25">
      <c r="A424" t="s">
        <v>1219</v>
      </c>
      <c r="B424" t="s">
        <v>1220</v>
      </c>
      <c r="C424" t="s">
        <v>1221</v>
      </c>
      <c r="D424">
        <v>2013</v>
      </c>
      <c r="E424" t="s">
        <v>1082</v>
      </c>
      <c r="F424" t="str">
        <f>HYPERLINK("https://www.szaktars.hu/harmattan/view/filozofiai-intuiciok-filozofusok-az-intuiciorol/", "https://www.szaktars.hu/harmattan/view/filozofiai-intuiciok-filozofusok-az-intuiciorol/")</f>
        <v>https://www.szaktars.hu/harmattan/view/filozofiai-intuiciok-filozofusok-az-intuiciorol/</v>
      </c>
    </row>
    <row r="425" spans="1:6" x14ac:dyDescent="0.25">
      <c r="A425" t="s">
        <v>1222</v>
      </c>
      <c r="B425" t="s">
        <v>1223</v>
      </c>
      <c r="C425" t="s">
        <v>1224</v>
      </c>
      <c r="D425">
        <v>2005</v>
      </c>
      <c r="E425" t="s">
        <v>1082</v>
      </c>
      <c r="F425" t="str">
        <f>HYPERLINK("https://www.szaktars.hu/harmattan/view/a-jelek-tana-locke-ismeretelmelete-es-metafizikaja/", "https://www.szaktars.hu/harmattan/view/a-jelek-tana-locke-ismeretelmelete-es-metafizikaja/")</f>
        <v>https://www.szaktars.hu/harmattan/view/a-jelek-tana-locke-ismeretelmelete-es-metafizikaja/</v>
      </c>
    </row>
    <row r="426" spans="1:6" x14ac:dyDescent="0.25">
      <c r="A426" t="s">
        <v>1225</v>
      </c>
      <c r="B426" t="s">
        <v>1223</v>
      </c>
      <c r="C426" t="s">
        <v>1226</v>
      </c>
      <c r="D426">
        <v>2014</v>
      </c>
      <c r="E426" t="s">
        <v>1082</v>
      </c>
      <c r="F426" t="str">
        <f>HYPERLINK("https://www.szaktars.hu/harmattan/view/kortars-nezetek-a-tudasrol/", "https://www.szaktars.hu/harmattan/view/kortars-nezetek-a-tudasrol/")</f>
        <v>https://www.szaktars.hu/harmattan/view/kortars-nezetek-a-tudasrol/</v>
      </c>
    </row>
    <row r="427" spans="1:6" x14ac:dyDescent="0.25">
      <c r="A427" t="s">
        <v>1227</v>
      </c>
      <c r="B427" t="s">
        <v>1228</v>
      </c>
      <c r="C427" t="s">
        <v>1229</v>
      </c>
      <c r="D427">
        <v>2015</v>
      </c>
      <c r="E427" t="s">
        <v>1082</v>
      </c>
      <c r="F427" t="str">
        <f>HYPERLINK("https://www.szaktars.hu/harmattan/view/a-rendellenesek/", "https://www.szaktars.hu/harmattan/view/a-rendellenesek/")</f>
        <v>https://www.szaktars.hu/harmattan/view/a-rendellenesek/</v>
      </c>
    </row>
    <row r="428" spans="1:6" x14ac:dyDescent="0.25">
      <c r="A428" t="s">
        <v>1230</v>
      </c>
      <c r="B428" t="s">
        <v>1231</v>
      </c>
      <c r="C428" t="s">
        <v>1232</v>
      </c>
      <c r="D428">
        <v>2012</v>
      </c>
      <c r="E428" t="s">
        <v>1082</v>
      </c>
      <c r="F428" t="str">
        <f>HYPERLINK("https://www.szaktars.hu/harmattan/view/ervin-gabor-emlekezete-ervin-gabor-bolcseleti-munkai-fejezet-a-magyar-neotomizmus-tortenetebol/", "https://www.szaktars.hu/harmattan/view/ervin-gabor-emlekezete-ervin-gabor-bolcseleti-munkai-fejezet-a-magyar-neotomizmus-tortenetebol/")</f>
        <v>https://www.szaktars.hu/harmattan/view/ervin-gabor-emlekezete-ervin-gabor-bolcseleti-munkai-fejezet-a-magyar-neotomizmus-tortenetebol/</v>
      </c>
    </row>
    <row r="429" spans="1:6" x14ac:dyDescent="0.25">
      <c r="A429" t="s">
        <v>1233</v>
      </c>
      <c r="B429" t="s">
        <v>1234</v>
      </c>
      <c r="C429" t="s">
        <v>1235</v>
      </c>
      <c r="D429">
        <v>2006</v>
      </c>
      <c r="E429" t="s">
        <v>1082</v>
      </c>
      <c r="F429" t="str">
        <f>HYPERLINK("https://www.szaktars.hu/harmattan/view/jacques-maritain-tanulmanyok/", "https://www.szaktars.hu/harmattan/view/jacques-maritain-tanulmanyok/")</f>
        <v>https://www.szaktars.hu/harmattan/view/jacques-maritain-tanulmanyok/</v>
      </c>
    </row>
    <row r="430" spans="1:6" x14ac:dyDescent="0.25">
      <c r="A430" t="s">
        <v>1236</v>
      </c>
      <c r="B430" t="s">
        <v>1237</v>
      </c>
      <c r="C430" t="s">
        <v>1238</v>
      </c>
      <c r="D430">
        <v>2016</v>
      </c>
      <c r="E430" t="s">
        <v>1082</v>
      </c>
      <c r="F430" t="str">
        <f>HYPERLINK("https://www.szaktars.hu/harmattan/view/multba-zart-jelen-avagy-a-tortenelem-hermeneutikaja/", "https://www.szaktars.hu/harmattan/view/multba-zart-jelen-avagy-a-tortenelem-hermeneutikaja/")</f>
        <v>https://www.szaktars.hu/harmattan/view/multba-zart-jelen-avagy-a-tortenelem-hermeneutikaja/</v>
      </c>
    </row>
    <row r="431" spans="1:6" x14ac:dyDescent="0.25">
      <c r="A431" t="s">
        <v>1239</v>
      </c>
      <c r="B431" t="s">
        <v>1240</v>
      </c>
      <c r="C431" t="s">
        <v>1241</v>
      </c>
      <c r="D431">
        <v>2007</v>
      </c>
      <c r="E431" t="s">
        <v>1082</v>
      </c>
      <c r="F431" t="str">
        <f>HYPERLINK("https://www.szaktars.hu/harmattan/view/elmelkedesek-europarol/", "https://www.szaktars.hu/harmattan/view/elmelkedesek-europarol/")</f>
        <v>https://www.szaktars.hu/harmattan/view/elmelkedesek-europarol/</v>
      </c>
    </row>
    <row r="432" spans="1:6" x14ac:dyDescent="0.25">
      <c r="A432" t="s">
        <v>1242</v>
      </c>
      <c r="B432" t="s">
        <v>1243</v>
      </c>
      <c r="C432" t="s">
        <v>1244</v>
      </c>
      <c r="D432">
        <v>2015</v>
      </c>
      <c r="E432" t="s">
        <v>1082</v>
      </c>
      <c r="F432" t="str">
        <f>HYPERLINK("https://www.szaktars.hu/harmattan/view/mi-rejtve-volt-a-vilag-teremtesetol-fogva/", "https://www.szaktars.hu/harmattan/view/mi-rejtve-volt-a-vilag-teremtesetol-fogva/")</f>
        <v>https://www.szaktars.hu/harmattan/view/mi-rejtve-volt-a-vilag-teremtesetol-fogva/</v>
      </c>
    </row>
    <row r="433" spans="1:6" x14ac:dyDescent="0.25">
      <c r="A433" t="s">
        <v>1245</v>
      </c>
      <c r="B433" t="s">
        <v>1246</v>
      </c>
      <c r="C433" t="s">
        <v>1247</v>
      </c>
      <c r="D433">
        <v>2010</v>
      </c>
      <c r="E433" t="s">
        <v>1082</v>
      </c>
      <c r="F433" t="str">
        <f>HYPERLINK("https://www.szaktars.hu/harmattan/view/a-marxizmustol-a-posztmarxizmus-fele/", "https://www.szaktars.hu/harmattan/view/a-marxizmustol-a-posztmarxizmus-fele/")</f>
        <v>https://www.szaktars.hu/harmattan/view/a-marxizmustol-a-posztmarxizmus-fele/</v>
      </c>
    </row>
    <row r="434" spans="1:6" x14ac:dyDescent="0.25">
      <c r="A434" t="s">
        <v>1248</v>
      </c>
      <c r="B434" t="s">
        <v>1249</v>
      </c>
      <c r="C434" t="s">
        <v>1250</v>
      </c>
      <c r="D434">
        <v>2006</v>
      </c>
      <c r="E434" t="s">
        <v>1082</v>
      </c>
      <c r="F434" t="str">
        <f>HYPERLINK("https://www.szaktars.hu/harmattan/view/francois-guizot-valogatott-politikai-irasok/", "https://www.szaktars.hu/harmattan/view/francois-guizot-valogatott-politikai-irasok/")</f>
        <v>https://www.szaktars.hu/harmattan/view/francois-guizot-valogatott-politikai-irasok/</v>
      </c>
    </row>
    <row r="435" spans="1:6" x14ac:dyDescent="0.25">
      <c r="A435" t="s">
        <v>1251</v>
      </c>
      <c r="B435" t="s">
        <v>1252</v>
      </c>
      <c r="C435" t="s">
        <v>1253</v>
      </c>
      <c r="D435">
        <v>2014</v>
      </c>
      <c r="E435" t="s">
        <v>1082</v>
      </c>
      <c r="F435" t="str">
        <f>HYPERLINK("https://www.szaktars.hu/harmattan/view/soren-kierkegaard-1813-2013/", "https://www.szaktars.hu/harmattan/view/soren-kierkegaard-1813-2013/")</f>
        <v>https://www.szaktars.hu/harmattan/view/soren-kierkegaard-1813-2013/</v>
      </c>
    </row>
    <row r="436" spans="1:6" x14ac:dyDescent="0.25">
      <c r="A436" t="s">
        <v>1254</v>
      </c>
      <c r="B436" t="s">
        <v>1255</v>
      </c>
      <c r="C436" t="s">
        <v>1256</v>
      </c>
      <c r="D436">
        <v>2015</v>
      </c>
      <c r="E436" t="s">
        <v>1082</v>
      </c>
      <c r="F436" t="str">
        <f>HYPERLINK("https://www.szaktars.hu/harmattan/view/irasok-a-kegyelemrol-es-az-eleve-elrendelesrol/", "https://www.szaktars.hu/harmattan/view/irasok-a-kegyelemrol-es-az-eleve-elrendelesrol/")</f>
        <v>https://www.szaktars.hu/harmattan/view/irasok-a-kegyelemrol-es-az-eleve-elrendelesrol/</v>
      </c>
    </row>
    <row r="437" spans="1:6" x14ac:dyDescent="0.25">
      <c r="A437" t="s">
        <v>1257</v>
      </c>
      <c r="B437" t="s">
        <v>1258</v>
      </c>
      <c r="C437" t="s">
        <v>1259</v>
      </c>
      <c r="D437">
        <v>2014</v>
      </c>
      <c r="E437" t="s">
        <v>1082</v>
      </c>
      <c r="F437" t="str">
        <f>HYPERLINK("https://www.szaktars.hu/harmattan/view/fichte-korai-tudomanytananak-alapgondolata-antropologia-es-transzcendentalis-filozofia/", "https://www.szaktars.hu/harmattan/view/fichte-korai-tudomanytananak-alapgondolata-antropologia-es-transzcendentalis-filozofia/")</f>
        <v>https://www.szaktars.hu/harmattan/view/fichte-korai-tudomanytananak-alapgondolata-antropologia-es-transzcendentalis-filozofia/</v>
      </c>
    </row>
    <row r="438" spans="1:6" x14ac:dyDescent="0.25">
      <c r="A438" t="s">
        <v>1260</v>
      </c>
      <c r="B438" t="s">
        <v>1261</v>
      </c>
      <c r="C438" t="s">
        <v>1262</v>
      </c>
      <c r="D438">
        <v>2007</v>
      </c>
      <c r="E438" t="s">
        <v>1082</v>
      </c>
      <c r="F438" t="str">
        <f>HYPERLINK("https://www.szaktars.hu/harmattan/view/bevezetes-a-pszichoterapias-daseinanalizis-filozofiai-dimenzioiba/", "https://www.szaktars.hu/harmattan/view/bevezetes-a-pszichoterapias-daseinanalizis-filozofiai-dimenzioiba/")</f>
        <v>https://www.szaktars.hu/harmattan/view/bevezetes-a-pszichoterapias-daseinanalizis-filozofiai-dimenzioiba/</v>
      </c>
    </row>
    <row r="439" spans="1:6" x14ac:dyDescent="0.25">
      <c r="A439" t="s">
        <v>1263</v>
      </c>
      <c r="B439" t="s">
        <v>1264</v>
      </c>
      <c r="C439" t="s">
        <v>1265</v>
      </c>
      <c r="D439">
        <v>2013</v>
      </c>
      <c r="E439" t="s">
        <v>1082</v>
      </c>
      <c r="F439" t="str">
        <f>HYPERLINK("https://www.szaktars.hu/harmattan/view/harc-az-elismeresert-a-tarsadalmi-konfliktusok-moralis-grammatikaja/", "https://www.szaktars.hu/harmattan/view/harc-az-elismeresert-a-tarsadalmi-konfliktusok-moralis-grammatikaja/")</f>
        <v>https://www.szaktars.hu/harmattan/view/harc-az-elismeresert-a-tarsadalmi-konfliktusok-moralis-grammatikaja/</v>
      </c>
    </row>
    <row r="440" spans="1:6" x14ac:dyDescent="0.25">
      <c r="A440" t="s">
        <v>1266</v>
      </c>
      <c r="B440" t="s">
        <v>1267</v>
      </c>
      <c r="C440" t="s">
        <v>1268</v>
      </c>
      <c r="D440">
        <v>2013</v>
      </c>
      <c r="E440" t="s">
        <v>1082</v>
      </c>
      <c r="F440" t="str">
        <f>HYPERLINK("https://www.szaktars.hu/harmattan/view/fejezetek-a-kora-modern-esztetikai-gondolkodas-tortenetebol-1450-1650/", "https://www.szaktars.hu/harmattan/view/fejezetek-a-kora-modern-esztetikai-gondolkodas-tortenetebol-1450-1650/")</f>
        <v>https://www.szaktars.hu/harmattan/view/fejezetek-a-kora-modern-esztetikai-gondolkodas-tortenetebol-1450-1650/</v>
      </c>
    </row>
    <row r="441" spans="1:6" x14ac:dyDescent="0.25">
      <c r="A441" t="s">
        <v>1269</v>
      </c>
      <c r="B441" t="s">
        <v>1270</v>
      </c>
      <c r="C441" t="s">
        <v>1271</v>
      </c>
      <c r="D441">
        <v>2014</v>
      </c>
      <c r="E441" t="s">
        <v>1082</v>
      </c>
      <c r="F441" t="str">
        <f>HYPERLINK("https://www.szaktars.hu/harmattan/view/a-bolcseszettudomanyok-hasznarol/", "https://www.szaktars.hu/harmattan/view/a-bolcseszettudomanyok-hasznarol/")</f>
        <v>https://www.szaktars.hu/harmattan/view/a-bolcseszettudomanyok-hasznarol/</v>
      </c>
    </row>
    <row r="442" spans="1:6" x14ac:dyDescent="0.25">
      <c r="A442" t="s">
        <v>1272</v>
      </c>
      <c r="B442" t="s">
        <v>1273</v>
      </c>
      <c r="C442" t="s">
        <v>1274</v>
      </c>
      <c r="D442">
        <v>2010</v>
      </c>
      <c r="E442" t="s">
        <v>1082</v>
      </c>
      <c r="F442" t="str">
        <f>HYPERLINK("https://www.szaktars.hu/harmattan/view/az-oneszmeles-fenomenologiaja-a-fenomenologiai-redukcio-problemaja-husserl-kesoi-filozofiajaban/", "https://www.szaktars.hu/harmattan/view/az-oneszmeles-fenomenologiaja-a-fenomenologiai-redukcio-problemaja-husserl-kesoi-filozofiajaban/")</f>
        <v>https://www.szaktars.hu/harmattan/view/az-oneszmeles-fenomenologiaja-a-fenomenologiai-redukcio-problemaja-husserl-kesoi-filozofiajaban/</v>
      </c>
    </row>
    <row r="443" spans="1:6" x14ac:dyDescent="0.25">
      <c r="A443" t="s">
        <v>1275</v>
      </c>
      <c r="B443" t="s">
        <v>1276</v>
      </c>
      <c r="C443" t="s">
        <v>1277</v>
      </c>
      <c r="D443">
        <v>2011</v>
      </c>
      <c r="E443" t="s">
        <v>1082</v>
      </c>
      <c r="F443" t="str">
        <f>HYPERLINK("https://www.szaktars.hu/harmattan/view/nietzsche-filozofus-szuletese-a-tragedia-szellemebol/", "https://www.szaktars.hu/harmattan/view/nietzsche-filozofus-szuletese-a-tragedia-szellemebol/")</f>
        <v>https://www.szaktars.hu/harmattan/view/nietzsche-filozofus-szuletese-a-tragedia-szellemebol/</v>
      </c>
    </row>
    <row r="444" spans="1:6" x14ac:dyDescent="0.25">
      <c r="A444" t="s">
        <v>1278</v>
      </c>
      <c r="B444" t="s">
        <v>1279</v>
      </c>
      <c r="C444" t="s">
        <v>1280</v>
      </c>
      <c r="D444">
        <v>2013</v>
      </c>
      <c r="E444" t="s">
        <v>1082</v>
      </c>
      <c r="F444" t="str">
        <f>HYPERLINK("https://www.szaktars.hu/harmattan/view/az-emberi-nagysag-elemei-ket-eszme/", "https://www.szaktars.hu/harmattan/view/az-emberi-nagysag-elemei-ket-eszme/")</f>
        <v>https://www.szaktars.hu/harmattan/view/az-emberi-nagysag-elemei-ket-eszme/</v>
      </c>
    </row>
    <row r="445" spans="1:6" x14ac:dyDescent="0.25">
      <c r="A445" t="s">
        <v>1281</v>
      </c>
      <c r="B445" t="s">
        <v>1282</v>
      </c>
      <c r="C445" t="s">
        <v>1283</v>
      </c>
      <c r="D445">
        <v>2008</v>
      </c>
      <c r="E445" t="s">
        <v>1082</v>
      </c>
      <c r="F445" t="str">
        <f>HYPERLINK("https://www.szaktars.hu/harmattan/view/a-dolgok-es-a-szavak-a-fenomenologiai-kutatas-kortars-problemai/", "https://www.szaktars.hu/harmattan/view/a-dolgok-es-a-szavak-a-fenomenologiai-kutatas-kortars-problemai/")</f>
        <v>https://www.szaktars.hu/harmattan/view/a-dolgok-es-a-szavak-a-fenomenologiai-kutatas-kortars-problemai/</v>
      </c>
    </row>
    <row r="446" spans="1:6" x14ac:dyDescent="0.25">
      <c r="A446" t="s">
        <v>1284</v>
      </c>
      <c r="B446" t="s">
        <v>1285</v>
      </c>
      <c r="C446" t="s">
        <v>1286</v>
      </c>
      <c r="D446">
        <v>2016</v>
      </c>
      <c r="E446" t="s">
        <v>1082</v>
      </c>
      <c r="F446" t="str">
        <f>HYPERLINK("https://www.szaktars.hu/harmattan/view/aporiak-probatetele-tanulmanyok-esszek/", "https://www.szaktars.hu/harmattan/view/aporiak-probatetele-tanulmanyok-esszek/")</f>
        <v>https://www.szaktars.hu/harmattan/view/aporiak-probatetele-tanulmanyok-esszek/</v>
      </c>
    </row>
    <row r="447" spans="1:6" x14ac:dyDescent="0.25">
      <c r="A447" t="s">
        <v>1287</v>
      </c>
      <c r="B447" t="s">
        <v>1288</v>
      </c>
      <c r="C447" t="s">
        <v>1289</v>
      </c>
      <c r="D447">
        <v>2008</v>
      </c>
      <c r="E447" t="s">
        <v>1082</v>
      </c>
      <c r="F447" t="str">
        <f>HYPERLINK("https://www.szaktars.hu/harmattan/view/kierkegaard-az-ismetles/", "https://www.szaktars.hu/harmattan/view/kierkegaard-az-ismetles/")</f>
        <v>https://www.szaktars.hu/harmattan/view/kierkegaard-az-ismetles/</v>
      </c>
    </row>
    <row r="448" spans="1:6" x14ac:dyDescent="0.25">
      <c r="A448" t="s">
        <v>1290</v>
      </c>
      <c r="B448" t="s">
        <v>1291</v>
      </c>
      <c r="C448" t="s">
        <v>1292</v>
      </c>
      <c r="D448">
        <v>2015</v>
      </c>
      <c r="E448" t="s">
        <v>1082</v>
      </c>
      <c r="F448" t="str">
        <f>HYPERLINK("https://www.szaktars.hu/harmattan/view/a-jelenkor-kritikaja/", "https://www.szaktars.hu/harmattan/view/a-jelenkor-kritikaja/")</f>
        <v>https://www.szaktars.hu/harmattan/view/a-jelenkor-kritikaja/</v>
      </c>
    </row>
    <row r="449" spans="1:6" x14ac:dyDescent="0.25">
      <c r="A449" t="s">
        <v>1293</v>
      </c>
      <c r="B449" t="s">
        <v>1294</v>
      </c>
      <c r="C449" t="s">
        <v>1295</v>
      </c>
      <c r="D449">
        <v>2009</v>
      </c>
      <c r="E449" t="s">
        <v>1082</v>
      </c>
      <c r="F449" t="str">
        <f>HYPERLINK("https://www.szaktars.hu/harmattan/view/sapere-aude-esztetikai-es-muvelodestorteneti-irasok/", "https://www.szaktars.hu/harmattan/view/sapere-aude-esztetikai-es-muvelodestorteneti-irasok/")</f>
        <v>https://www.szaktars.hu/harmattan/view/sapere-aude-esztetikai-es-muvelodestorteneti-irasok/</v>
      </c>
    </row>
    <row r="450" spans="1:6" x14ac:dyDescent="0.25">
      <c r="A450" t="s">
        <v>1296</v>
      </c>
      <c r="B450" t="s">
        <v>1297</v>
      </c>
      <c r="C450" t="s">
        <v>1298</v>
      </c>
      <c r="D450">
        <v>2006</v>
      </c>
      <c r="E450" t="s">
        <v>1082</v>
      </c>
      <c r="F450" t="str">
        <f>HYPERLINK("https://www.szaktars.hu/harmattan/view/teoriak-halojaban-filozofiai-tanulmanyok/", "https://www.szaktars.hu/harmattan/view/teoriak-halojaban-filozofiai-tanulmanyok/")</f>
        <v>https://www.szaktars.hu/harmattan/view/teoriak-halojaban-filozofiai-tanulmanyok/</v>
      </c>
    </row>
    <row r="451" spans="1:6" x14ac:dyDescent="0.25">
      <c r="A451" t="s">
        <v>1299</v>
      </c>
      <c r="B451" t="s">
        <v>1300</v>
      </c>
      <c r="C451" t="s">
        <v>1301</v>
      </c>
      <c r="D451">
        <v>2015</v>
      </c>
      <c r="E451" t="s">
        <v>1082</v>
      </c>
      <c r="F451" t="str">
        <f>HYPERLINK("https://www.szaktars.hu/harmattan/view/a-logika-egyedfejlodese-es-szociologiaja-szemelvenyek-a-megismerestudomanyok-korebol/", "https://www.szaktars.hu/harmattan/view/a-logika-egyedfejlodese-es-szociologiaja-szemelvenyek-a-megismerestudomanyok-korebol/")</f>
        <v>https://www.szaktars.hu/harmattan/view/a-logika-egyedfejlodese-es-szociologiaja-szemelvenyek-a-megismerestudomanyok-korebol/</v>
      </c>
    </row>
    <row r="452" spans="1:6" x14ac:dyDescent="0.25">
      <c r="A452" t="s">
        <v>1302</v>
      </c>
      <c r="B452" t="s">
        <v>1303</v>
      </c>
      <c r="C452" t="s">
        <v>1304</v>
      </c>
      <c r="D452">
        <v>2011</v>
      </c>
      <c r="E452" t="s">
        <v>1082</v>
      </c>
      <c r="F452" t="str">
        <f>HYPERLINK("https://www.szaktars.hu/harmattan/view/marx-ideologia/", "https://www.szaktars.hu/harmattan/view/marx-ideologia/")</f>
        <v>https://www.szaktars.hu/harmattan/view/marx-ideologia/</v>
      </c>
    </row>
    <row r="453" spans="1:6" x14ac:dyDescent="0.25">
      <c r="A453" t="s">
        <v>1305</v>
      </c>
      <c r="B453" t="s">
        <v>1306</v>
      </c>
      <c r="C453" t="s">
        <v>1307</v>
      </c>
      <c r="D453">
        <v>2014</v>
      </c>
      <c r="E453" t="s">
        <v>1082</v>
      </c>
      <c r="F453" t="str">
        <f>HYPERLINK("https://www.szaktars.hu/harmattan/view/az-ereny-mestersege-david-hume-moralfilozofiajanak-ket-olvasata/", "https://www.szaktars.hu/harmattan/view/az-ereny-mestersege-david-hume-moralfilozofiajanak-ket-olvasata/")</f>
        <v>https://www.szaktars.hu/harmattan/view/az-ereny-mestersege-david-hume-moralfilozofiajanak-ket-olvasata/</v>
      </c>
    </row>
    <row r="454" spans="1:6" x14ac:dyDescent="0.25">
      <c r="A454" t="s">
        <v>1308</v>
      </c>
      <c r="B454" t="s">
        <v>1309</v>
      </c>
      <c r="C454" t="s">
        <v>1310</v>
      </c>
      <c r="D454">
        <v>2014</v>
      </c>
      <c r="E454" t="s">
        <v>1082</v>
      </c>
      <c r="F454" t="str">
        <f>HYPERLINK("https://www.szaktars.hu/harmattan/view/anti-filozofusok-huszonot-idoszeru-kerdese-a-keresztenyseghez/", "https://www.szaktars.hu/harmattan/view/anti-filozofusok-huszonot-idoszeru-kerdese-a-keresztenyseghez/")</f>
        <v>https://www.szaktars.hu/harmattan/view/anti-filozofusok-huszonot-idoszeru-kerdese-a-keresztenyseghez/</v>
      </c>
    </row>
    <row r="455" spans="1:6" x14ac:dyDescent="0.25">
      <c r="A455" t="s">
        <v>1311</v>
      </c>
      <c r="B455" t="s">
        <v>1312</v>
      </c>
      <c r="C455" t="s">
        <v>1313</v>
      </c>
      <c r="D455">
        <v>2015</v>
      </c>
      <c r="E455" t="s">
        <v>1082</v>
      </c>
      <c r="F455" t="str">
        <f>HYPERLINK("https://www.szaktars.hu/harmattan/view/az-igazsagalkotas-metafizikaja/", "https://www.szaktars.hu/harmattan/view/az-igazsagalkotas-metafizikaja/")</f>
        <v>https://www.szaktars.hu/harmattan/view/az-igazsagalkotas-metafizikaja/</v>
      </c>
    </row>
    <row r="456" spans="1:6" x14ac:dyDescent="0.25">
      <c r="A456" t="s">
        <v>1314</v>
      </c>
      <c r="B456" t="s">
        <v>1315</v>
      </c>
      <c r="C456" t="s">
        <v>1316</v>
      </c>
      <c r="D456">
        <v>2010</v>
      </c>
      <c r="E456" t="s">
        <v>1082</v>
      </c>
      <c r="F456" t="str">
        <f>HYPERLINK("https://www.szaktars.hu/harmattan/view/tanulmanyok-a-tudomanyos-gondolkodas-torteneterol/", "https://www.szaktars.hu/harmattan/view/tanulmanyok-a-tudomanyos-gondolkodas-torteneterol/")</f>
        <v>https://www.szaktars.hu/harmattan/view/tanulmanyok-a-tudomanyos-gondolkodas-torteneterol/</v>
      </c>
    </row>
    <row r="457" spans="1:6" x14ac:dyDescent="0.25">
      <c r="A457" t="s">
        <v>1317</v>
      </c>
      <c r="B457" t="s">
        <v>1318</v>
      </c>
      <c r="C457" t="s">
        <v>1319</v>
      </c>
      <c r="D457">
        <v>2010</v>
      </c>
      <c r="E457" t="s">
        <v>1082</v>
      </c>
      <c r="F457" t="str">
        <f>HYPERLINK("https://www.szaktars.hu/harmattan/view/lukacs-gyorgy-es-a-szocialista-alternativa/", "https://www.szaktars.hu/harmattan/view/lukacs-gyorgy-es-a-szocialista-alternativa/")</f>
        <v>https://www.szaktars.hu/harmattan/view/lukacs-gyorgy-es-a-szocialista-alternativa/</v>
      </c>
    </row>
    <row r="458" spans="1:6" x14ac:dyDescent="0.25">
      <c r="A458" t="s">
        <v>1320</v>
      </c>
      <c r="B458" t="s">
        <v>1321</v>
      </c>
      <c r="C458" t="s">
        <v>1322</v>
      </c>
      <c r="D458">
        <v>2006</v>
      </c>
      <c r="E458" t="s">
        <v>1082</v>
      </c>
      <c r="F458" t="str">
        <f>HYPERLINK("https://www.szaktars.hu/harmattan/view/felelosseg-oxfordi-tanulmanyok-a-filozofia-korebol/", "https://www.szaktars.hu/harmattan/view/felelosseg-oxfordi-tanulmanyok-a-filozofia-korebol/")</f>
        <v>https://www.szaktars.hu/harmattan/view/felelosseg-oxfordi-tanulmanyok-a-filozofia-korebol/</v>
      </c>
    </row>
    <row r="459" spans="1:6" x14ac:dyDescent="0.25">
      <c r="A459" t="s">
        <v>1323</v>
      </c>
      <c r="B459" t="s">
        <v>1324</v>
      </c>
      <c r="C459" t="s">
        <v>1325</v>
      </c>
      <c r="D459">
        <v>2010</v>
      </c>
      <c r="E459" t="s">
        <v>1082</v>
      </c>
      <c r="F459" t="str">
        <f>HYPERLINK("https://www.szaktars.hu/harmattan/view/hatarmunkalatok-a-tudomanyban/", "https://www.szaktars.hu/harmattan/view/hatarmunkalatok-a-tudomanyban/")</f>
        <v>https://www.szaktars.hu/harmattan/view/hatarmunkalatok-a-tudomanyban/</v>
      </c>
    </row>
    <row r="460" spans="1:6" x14ac:dyDescent="0.25">
      <c r="A460" t="s">
        <v>1326</v>
      </c>
      <c r="B460" t="s">
        <v>1327</v>
      </c>
      <c r="C460" t="s">
        <v>1328</v>
      </c>
      <c r="D460">
        <v>2005</v>
      </c>
      <c r="E460" t="s">
        <v>1082</v>
      </c>
      <c r="F460" t="str">
        <f>HYPERLINK("https://www.szaktars.hu/harmattan/view/ujabb-ertekezesek-az-emberi-ertelemrol/", "https://www.szaktars.hu/harmattan/view/ujabb-ertekezesek-az-emberi-ertelemrol/")</f>
        <v>https://www.szaktars.hu/harmattan/view/ujabb-ertekezesek-az-emberi-ertelemrol/</v>
      </c>
    </row>
    <row r="461" spans="1:6" x14ac:dyDescent="0.25">
      <c r="A461" t="s">
        <v>1329</v>
      </c>
      <c r="B461" t="s">
        <v>1330</v>
      </c>
      <c r="C461" t="s">
        <v>1331</v>
      </c>
      <c r="D461">
        <v>2012</v>
      </c>
      <c r="E461" t="s">
        <v>1082</v>
      </c>
      <c r="F461" t="str">
        <f>HYPERLINK("https://www.szaktars.hu/harmattan/view/a-masik-igazsaga-unnepi-kotet-feher-m-istvan-tiszteletere/", "https://www.szaktars.hu/harmattan/view/a-masik-igazsaga-unnepi-kotet-feher-m-istvan-tiszteletere/")</f>
        <v>https://www.szaktars.hu/harmattan/view/a-masik-igazsaga-unnepi-kotet-feher-m-istvan-tiszteletere/</v>
      </c>
    </row>
    <row r="462" spans="1:6" x14ac:dyDescent="0.25">
      <c r="A462" t="s">
        <v>1332</v>
      </c>
      <c r="B462" t="s">
        <v>1333</v>
      </c>
      <c r="C462" t="s">
        <v>1334</v>
      </c>
      <c r="D462">
        <v>2011</v>
      </c>
      <c r="E462" t="s">
        <v>1082</v>
      </c>
      <c r="F462" t="str">
        <f>HYPERLINK("https://www.szaktars.hu/harmattan/view/a-vegesseg-hermeneutikaja-az-ido-mint-filozofiai-problema-martin-heidegger-gondolkodasaban/", "https://www.szaktars.hu/harmattan/view/a-vegesseg-hermeneutikaja-az-ido-mint-filozofiai-problema-martin-heidegger-gondolkodasaban/")</f>
        <v>https://www.szaktars.hu/harmattan/view/a-vegesseg-hermeneutikaja-az-ido-mint-filozofiai-problema-martin-heidegger-gondolkodasaban/</v>
      </c>
    </row>
    <row r="463" spans="1:6" x14ac:dyDescent="0.25">
      <c r="A463" t="s">
        <v>1335</v>
      </c>
      <c r="B463" t="s">
        <v>1336</v>
      </c>
      <c r="C463" t="s">
        <v>1337</v>
      </c>
      <c r="D463">
        <v>2010</v>
      </c>
      <c r="E463" t="s">
        <v>1082</v>
      </c>
      <c r="F463" t="str">
        <f>HYPERLINK("https://www.szaktars.hu/harmattan/view/mundus-est-fabula-filozofiai-vizsgalodas-a-szabadsagrol-korunkban/", "https://www.szaktars.hu/harmattan/view/mundus-est-fabula-filozofiai-vizsgalodas-a-szabadsagrol-korunkban/")</f>
        <v>https://www.szaktars.hu/harmattan/view/mundus-est-fabula-filozofiai-vizsgalodas-a-szabadsagrol-korunkban/</v>
      </c>
    </row>
    <row r="464" spans="1:6" x14ac:dyDescent="0.25">
      <c r="A464" t="s">
        <v>1338</v>
      </c>
      <c r="B464" t="s">
        <v>1339</v>
      </c>
      <c r="C464" t="s">
        <v>1340</v>
      </c>
      <c r="D464">
        <v>2007</v>
      </c>
      <c r="E464" t="s">
        <v>1082</v>
      </c>
      <c r="F464" t="str">
        <f>HYPERLINK("https://www.szaktars.hu/harmattan/view/beszelgetesek-a-metafizikarol-es-a-vallasrol/", "https://www.szaktars.hu/harmattan/view/beszelgetesek-a-metafizikarol-es-a-vallasrol/")</f>
        <v>https://www.szaktars.hu/harmattan/view/beszelgetesek-a-metafizikarol-es-a-vallasrol/</v>
      </c>
    </row>
    <row r="465" spans="1:6" x14ac:dyDescent="0.25">
      <c r="A465" t="s">
        <v>1341</v>
      </c>
      <c r="B465" t="s">
        <v>1342</v>
      </c>
      <c r="C465" t="s">
        <v>1343</v>
      </c>
      <c r="D465">
        <v>2015</v>
      </c>
      <c r="E465" t="s">
        <v>1082</v>
      </c>
      <c r="F465" t="str">
        <f>HYPERLINK("https://www.szaktars.hu/harmattan/view/metafizikai-naplo/", "https://www.szaktars.hu/harmattan/view/metafizikai-naplo/")</f>
        <v>https://www.szaktars.hu/harmattan/view/metafizikai-naplo/</v>
      </c>
    </row>
    <row r="466" spans="1:6" x14ac:dyDescent="0.25">
      <c r="A466" t="s">
        <v>1344</v>
      </c>
      <c r="B466" t="s">
        <v>1345</v>
      </c>
      <c r="C466" t="s">
        <v>1346</v>
      </c>
      <c r="D466">
        <v>2016</v>
      </c>
      <c r="E466" t="s">
        <v>1082</v>
      </c>
      <c r="F466" t="str">
        <f>HYPERLINK("https://www.szaktars.hu/harmattan/view/elidegenedes-es-emancipacio-karl-marx-es-a-gazdasagi-filozofiai-keziratok/", "https://www.szaktars.hu/harmattan/view/elidegenedes-es-emancipacio-karl-marx-es-a-gazdasagi-filozofiai-keziratok/")</f>
        <v>https://www.szaktars.hu/harmattan/view/elidegenedes-es-emancipacio-karl-marx-es-a-gazdasagi-filozofiai-keziratok/</v>
      </c>
    </row>
    <row r="467" spans="1:6" x14ac:dyDescent="0.25">
      <c r="A467" t="s">
        <v>1347</v>
      </c>
      <c r="B467" t="s">
        <v>1348</v>
      </c>
      <c r="C467" t="s">
        <v>1349</v>
      </c>
      <c r="D467">
        <v>2015</v>
      </c>
      <c r="E467" t="s">
        <v>1082</v>
      </c>
      <c r="F467" t="str">
        <f>HYPERLINK("https://www.szaktars.hu/harmattan/view/realizmus-magyarazat-megertes/", "https://www.szaktars.hu/harmattan/view/realizmus-magyarazat-megertes/")</f>
        <v>https://www.szaktars.hu/harmattan/view/realizmus-magyarazat-megertes/</v>
      </c>
    </row>
    <row r="468" spans="1:6" x14ac:dyDescent="0.25">
      <c r="A468" t="s">
        <v>1350</v>
      </c>
      <c r="B468" t="s">
        <v>1351</v>
      </c>
      <c r="C468" t="s">
        <v>1352</v>
      </c>
      <c r="D468">
        <v>2006</v>
      </c>
      <c r="E468" t="s">
        <v>1082</v>
      </c>
      <c r="F468" t="str">
        <f>HYPERLINK("https://www.szaktars.hu/harmattan/view/a-lathato-es-a-lathatatlan/", "https://www.szaktars.hu/harmattan/view/a-lathato-es-a-lathatatlan/")</f>
        <v>https://www.szaktars.hu/harmattan/view/a-lathato-es-a-lathatatlan/</v>
      </c>
    </row>
    <row r="469" spans="1:6" x14ac:dyDescent="0.25">
      <c r="A469" t="s">
        <v>1353</v>
      </c>
      <c r="B469" t="s">
        <v>1351</v>
      </c>
      <c r="C469" t="s">
        <v>1354</v>
      </c>
      <c r="D469">
        <v>2012</v>
      </c>
      <c r="E469" t="s">
        <v>1082</v>
      </c>
      <c r="F469" t="str">
        <f>HYPERLINK("https://www.szaktars.hu/harmattan/view/az-eszleles-fenomenologiaja/", "https://www.szaktars.hu/harmattan/view/az-eszleles-fenomenologiaja/")</f>
        <v>https://www.szaktars.hu/harmattan/view/az-eszleles-fenomenologiaja/</v>
      </c>
    </row>
    <row r="470" spans="1:6" x14ac:dyDescent="0.25">
      <c r="A470" t="s">
        <v>1355</v>
      </c>
      <c r="B470" t="s">
        <v>1356</v>
      </c>
      <c r="C470" t="s">
        <v>1357</v>
      </c>
      <c r="D470">
        <v>2009</v>
      </c>
      <c r="E470" t="s">
        <v>1082</v>
      </c>
      <c r="F470" t="str">
        <f>HYPERLINK("https://www.szaktars.hu/harmattan/view/a-token-tul-kozelitesek-az-atmenet-elmeletehez-2-a-szocialista-kritika-tortenelmi-oroksege/", "https://www.szaktars.hu/harmattan/view/a-token-tul-kozelitesek-az-atmenet-elmeletehez-2-a-szocialista-kritika-tortenelmi-oroksege/")</f>
        <v>https://www.szaktars.hu/harmattan/view/a-token-tul-kozelitesek-az-atmenet-elmeletehez-2-a-szocialista-kritika-tortenelmi-oroksege/</v>
      </c>
    </row>
    <row r="471" spans="1:6" x14ac:dyDescent="0.25">
      <c r="A471" t="s">
        <v>1358</v>
      </c>
      <c r="B471" t="s">
        <v>1356</v>
      </c>
      <c r="C471" t="s">
        <v>1359</v>
      </c>
      <c r="D471">
        <v>2008</v>
      </c>
      <c r="E471" t="s">
        <v>1082</v>
      </c>
      <c r="F471" t="str">
        <f>HYPERLINK("https://www.szaktars.hu/harmattan/view/a-token-tul-kozelitesek-az-atmenet-elmeletehez-elso-resz-az-ellenorizhetetlenseg-arnya/", "https://www.szaktars.hu/harmattan/view/a-token-tul-kozelitesek-az-atmenet-elmeletehez-elso-resz-az-ellenorizhetetlenseg-arnya/")</f>
        <v>https://www.szaktars.hu/harmattan/view/a-token-tul-kozelitesek-az-atmenet-elmeletehez-elso-resz-az-ellenorizhetetlenseg-arnya/</v>
      </c>
    </row>
    <row r="472" spans="1:6" x14ac:dyDescent="0.25">
      <c r="A472" t="s">
        <v>1360</v>
      </c>
      <c r="B472" t="s">
        <v>1361</v>
      </c>
      <c r="C472" t="s">
        <v>1362</v>
      </c>
      <c r="D472">
        <v>2003</v>
      </c>
      <c r="E472" t="s">
        <v>1082</v>
      </c>
      <c r="F472" t="str">
        <f>HYPERLINK("https://www.szaktars.hu/harmattan/view/vallas-es-hagyomany/", "https://www.szaktars.hu/harmattan/view/vallas-es-hagyomany/")</f>
        <v>https://www.szaktars.hu/harmattan/view/vallas-es-hagyomany/</v>
      </c>
    </row>
    <row r="473" spans="1:6" x14ac:dyDescent="0.25">
      <c r="A473" t="s">
        <v>1363</v>
      </c>
      <c r="B473" t="s">
        <v>1364</v>
      </c>
      <c r="C473" t="s">
        <v>1365</v>
      </c>
      <c r="D473">
        <v>2012</v>
      </c>
      <c r="E473" t="s">
        <v>1082</v>
      </c>
      <c r="F473" t="str">
        <f>HYPERLINK("https://www.szaktars.hu/harmattan/view/benivieni-neoplatonista-versenek-kommentarja/", "https://www.szaktars.hu/harmattan/view/benivieni-neoplatonista-versenek-kommentarja/")</f>
        <v>https://www.szaktars.hu/harmattan/view/benivieni-neoplatonista-versenek-kommentarja/</v>
      </c>
    </row>
    <row r="474" spans="1:6" x14ac:dyDescent="0.25">
      <c r="A474" t="s">
        <v>1366</v>
      </c>
      <c r="B474" t="s">
        <v>1367</v>
      </c>
      <c r="C474" t="s">
        <v>1368</v>
      </c>
      <c r="D474">
        <v>2015</v>
      </c>
      <c r="E474" t="s">
        <v>1082</v>
      </c>
      <c r="F474" t="str">
        <f>HYPERLINK("https://www.szaktars.hu/harmattan/view/kepalkoto-elevensege-esztetika-es-antropologia-a-humanitas-hatarvideken/", "https://www.szaktars.hu/harmattan/view/kepalkoto-elevensege-esztetika-es-antropologia-a-humanitas-hatarvideken/")</f>
        <v>https://www.szaktars.hu/harmattan/view/kepalkoto-elevensege-esztetika-es-antropologia-a-humanitas-hatarvideken/</v>
      </c>
    </row>
    <row r="475" spans="1:6" x14ac:dyDescent="0.25">
      <c r="A475" t="s">
        <v>1369</v>
      </c>
      <c r="B475" t="s">
        <v>1370</v>
      </c>
      <c r="C475" t="s">
        <v>1371</v>
      </c>
      <c r="D475">
        <v>2010</v>
      </c>
      <c r="E475" t="s">
        <v>1082</v>
      </c>
      <c r="F475" t="str">
        <f>HYPERLINK("https://www.szaktars.hu/harmattan/view/filozofia-a-globalizacio-arnyekaban-richard-rorty/", "https://www.szaktars.hu/harmattan/view/filozofia-a-globalizacio-arnyekaban-richard-rorty/")</f>
        <v>https://www.szaktars.hu/harmattan/view/filozofia-a-globalizacio-arnyekaban-richard-rorty/</v>
      </c>
    </row>
    <row r="476" spans="1:6" x14ac:dyDescent="0.25">
      <c r="A476" t="s">
        <v>1372</v>
      </c>
      <c r="B476" t="s">
        <v>1370</v>
      </c>
      <c r="C476" t="s">
        <v>1373</v>
      </c>
      <c r="D476">
        <v>2009</v>
      </c>
      <c r="E476" t="s">
        <v>1082</v>
      </c>
      <c r="F476" t="str">
        <f>HYPERLINK("https://www.szaktars.hu/harmattan/view/hans-georg-gadamer-egy-20-szazadi-humanista/", "https://www.szaktars.hu/harmattan/view/hans-georg-gadamer-egy-20-szazadi-humanista/")</f>
        <v>https://www.szaktars.hu/harmattan/view/hans-georg-gadamer-egy-20-szazadi-humanista/</v>
      </c>
    </row>
    <row r="477" spans="1:6" x14ac:dyDescent="0.25">
      <c r="A477" t="s">
        <v>1374</v>
      </c>
      <c r="B477" t="s">
        <v>1375</v>
      </c>
      <c r="C477" t="s">
        <v>1376</v>
      </c>
      <c r="D477">
        <v>2012</v>
      </c>
      <c r="E477" t="s">
        <v>1082</v>
      </c>
      <c r="F477" t="str">
        <f>HYPERLINK("https://www.szaktars.hu/harmattan/view/filozofia-mint-dekonstrukcio-heidegger-es-derrida/", "https://www.szaktars.hu/harmattan/view/filozofia-mint-dekonstrukcio-heidegger-es-derrida/")</f>
        <v>https://www.szaktars.hu/harmattan/view/filozofia-mint-dekonstrukcio-heidegger-es-derrida/</v>
      </c>
    </row>
    <row r="478" spans="1:6" x14ac:dyDescent="0.25">
      <c r="A478" t="s">
        <v>1377</v>
      </c>
      <c r="B478" t="s">
        <v>1378</v>
      </c>
      <c r="C478" t="s">
        <v>1379</v>
      </c>
      <c r="D478">
        <v>2006</v>
      </c>
      <c r="E478" t="s">
        <v>1082</v>
      </c>
      <c r="F478" t="str">
        <f>HYPERLINK("https://www.szaktars.hu/harmattan/view/nyelviseg-es-nyelvfeledtseg-hans-georg-gadamer-es-a-nyelv-hermeneutikaja/", "https://www.szaktars.hu/harmattan/view/nyelviseg-es-nyelvfeledtseg-hans-georg-gadamer-es-a-nyelv-hermeneutikaja/")</f>
        <v>https://www.szaktars.hu/harmattan/view/nyelviseg-es-nyelvfeledtseg-hans-georg-gadamer-es-a-nyelv-hermeneutikaja/</v>
      </c>
    </row>
    <row r="479" spans="1:6" x14ac:dyDescent="0.25">
      <c r="A479" t="s">
        <v>1380</v>
      </c>
      <c r="B479" t="s">
        <v>1381</v>
      </c>
      <c r="C479" t="s">
        <v>1382</v>
      </c>
      <c r="D479">
        <v>2011</v>
      </c>
      <c r="E479" t="s">
        <v>1082</v>
      </c>
      <c r="F479" t="str">
        <f>HYPERLINK("https://www.szaktars.hu/harmattan/view/kontinentalis-filozofia-a-xx-szazadban/", "https://www.szaktars.hu/harmattan/view/kontinentalis-filozofia-a-xx-szazadban/")</f>
        <v>https://www.szaktars.hu/harmattan/view/kontinentalis-filozofia-a-xx-szazadban/</v>
      </c>
    </row>
    <row r="480" spans="1:6" x14ac:dyDescent="0.25">
      <c r="A480" t="s">
        <v>1383</v>
      </c>
      <c r="B480" t="s">
        <v>1384</v>
      </c>
      <c r="C480" t="s">
        <v>1385</v>
      </c>
      <c r="D480">
        <v>2015</v>
      </c>
      <c r="E480" t="s">
        <v>1082</v>
      </c>
      <c r="F480" t="str">
        <f>HYPERLINK("https://www.szaktars.hu/harmattan/view/a-muveszettol-a-tomegkulturaig/", "https://www.szaktars.hu/harmattan/view/a-muveszettol-a-tomegkulturaig/")</f>
        <v>https://www.szaktars.hu/harmattan/view/a-muveszettol-a-tomegkulturaig/</v>
      </c>
    </row>
    <row r="481" spans="1:6" x14ac:dyDescent="0.25">
      <c r="A481" t="s">
        <v>1386</v>
      </c>
      <c r="B481" t="s">
        <v>1387</v>
      </c>
      <c r="C481" t="s">
        <v>1388</v>
      </c>
      <c r="D481">
        <v>2008</v>
      </c>
      <c r="E481" t="s">
        <v>1082</v>
      </c>
      <c r="F481" t="str">
        <f>HYPERLINK("https://www.szaktars.hu/harmattan/view/hannah-arendt-politikai-egzisztencializmusa/", "https://www.szaktars.hu/harmattan/view/hannah-arendt-politikai-egzisztencializmusa/")</f>
        <v>https://www.szaktars.hu/harmattan/view/hannah-arendt-politikai-egzisztencializmusa/</v>
      </c>
    </row>
    <row r="482" spans="1:6" x14ac:dyDescent="0.25">
      <c r="A482" t="s">
        <v>1389</v>
      </c>
      <c r="B482" t="s">
        <v>1390</v>
      </c>
      <c r="C482" t="s">
        <v>1391</v>
      </c>
      <c r="D482">
        <v>2012</v>
      </c>
      <c r="E482" t="s">
        <v>1082</v>
      </c>
      <c r="F482" t="str">
        <f>HYPERLINK("https://www.szaktars.hu/harmattan/view/emergens-evolucio/", "https://www.szaktars.hu/harmattan/view/emergens-evolucio/")</f>
        <v>https://www.szaktars.hu/harmattan/view/emergens-evolucio/</v>
      </c>
    </row>
    <row r="483" spans="1:6" x14ac:dyDescent="0.25">
      <c r="A483" t="s">
        <v>1393</v>
      </c>
      <c r="B483" t="s">
        <v>1392</v>
      </c>
      <c r="C483" t="s">
        <v>1394</v>
      </c>
      <c r="D483">
        <v>2015</v>
      </c>
      <c r="E483" t="s">
        <v>1082</v>
      </c>
      <c r="F483" t="str">
        <f>HYPERLINK("https://www.szaktars.hu/harmattan/view/szemelyes-valosag/", "https://www.szaktars.hu/harmattan/view/szemelyes-valosag/")</f>
        <v>https://www.szaktars.hu/harmattan/view/szemelyes-valosag/</v>
      </c>
    </row>
    <row r="484" spans="1:6" x14ac:dyDescent="0.25">
      <c r="A484" t="s">
        <v>1395</v>
      </c>
      <c r="B484" t="s">
        <v>1396</v>
      </c>
      <c r="C484" t="s">
        <v>1397</v>
      </c>
      <c r="D484">
        <v>2012</v>
      </c>
      <c r="E484" t="s">
        <v>1082</v>
      </c>
      <c r="F484" t="str">
        <f>HYPERLINK("https://www.szaktars.hu/harmattan/view/logika-es-gondolkodas-a-megismeres-elmeletei-a-korai-felvilagosodasban/", "https://www.szaktars.hu/harmattan/view/logika-es-gondolkodas-a-megismeres-elmeletei-a-korai-felvilagosodasban/")</f>
        <v>https://www.szaktars.hu/harmattan/view/logika-es-gondolkodas-a-megismeres-elmeletei-a-korai-felvilagosodasban/</v>
      </c>
    </row>
    <row r="485" spans="1:6" x14ac:dyDescent="0.25">
      <c r="A485" t="s">
        <v>1398</v>
      </c>
      <c r="B485" t="s">
        <v>1399</v>
      </c>
      <c r="C485" t="s">
        <v>1400</v>
      </c>
      <c r="D485">
        <v>2016</v>
      </c>
      <c r="E485" t="s">
        <v>1082</v>
      </c>
      <c r="F485" t="str">
        <f>HYPERLINK("https://www.szaktars.hu/harmattan/view/edmund-burke-es-kritikusai-egy-xviii-szazadi-politikai-elmelet-esztetikaja/", "https://www.szaktars.hu/harmattan/view/edmund-burke-es-kritikusai-egy-xviii-szazadi-politikai-elmelet-esztetikaja/")</f>
        <v>https://www.szaktars.hu/harmattan/view/edmund-burke-es-kritikusai-egy-xviii-szazadi-politikai-elmelet-esztetikaja/</v>
      </c>
    </row>
    <row r="486" spans="1:6" x14ac:dyDescent="0.25">
      <c r="A486" t="s">
        <v>1401</v>
      </c>
      <c r="B486" t="s">
        <v>1402</v>
      </c>
      <c r="C486" t="s">
        <v>1403</v>
      </c>
      <c r="D486">
        <v>2012</v>
      </c>
      <c r="E486" t="s">
        <v>1082</v>
      </c>
      <c r="F486" t="str">
        <f>HYPERLINK("https://www.szaktars.hu/harmattan/view/kozossegelvuseg-es-politikai-liberalizmus-charles-taylor-liberalizmuskritikaja/", "https://www.szaktars.hu/harmattan/view/kozossegelvuseg-es-politikai-liberalizmus-charles-taylor-liberalizmuskritikaja/")</f>
        <v>https://www.szaktars.hu/harmattan/view/kozossegelvuseg-es-politikai-liberalizmus-charles-taylor-liberalizmuskritikaja/</v>
      </c>
    </row>
    <row r="487" spans="1:6" x14ac:dyDescent="0.25">
      <c r="A487" t="s">
        <v>1404</v>
      </c>
      <c r="B487" t="s">
        <v>1405</v>
      </c>
      <c r="C487" t="s">
        <v>1406</v>
      </c>
      <c r="D487">
        <v>2014</v>
      </c>
      <c r="E487" t="s">
        <v>1082</v>
      </c>
      <c r="F487" t="str">
        <f>HYPERLINK("https://www.szaktars.hu/harmattan/view/a-prezentifikacio-fenomenologiaja/", "https://www.szaktars.hu/harmattan/view/a-prezentifikacio-fenomenologiaja/")</f>
        <v>https://www.szaktars.hu/harmattan/view/a-prezentifikacio-fenomenologiaja/</v>
      </c>
    </row>
    <row r="488" spans="1:6" x14ac:dyDescent="0.25">
      <c r="A488" t="s">
        <v>1407</v>
      </c>
      <c r="B488" t="s">
        <v>1408</v>
      </c>
      <c r="C488" t="s">
        <v>1409</v>
      </c>
      <c r="D488">
        <v>2011</v>
      </c>
      <c r="E488" t="s">
        <v>1082</v>
      </c>
      <c r="F488" t="str">
        <f>HYPERLINK("https://www.szaktars.hu/harmattan/view/a-cselekves-hegeli-koncepcioja/", "https://www.szaktars.hu/harmattan/view/a-cselekves-hegeli-koncepcioja/")</f>
        <v>https://www.szaktars.hu/harmattan/view/a-cselekves-hegeli-koncepcioja/</v>
      </c>
    </row>
    <row r="489" spans="1:6" x14ac:dyDescent="0.25">
      <c r="A489" t="s">
        <v>1410</v>
      </c>
      <c r="B489" t="s">
        <v>1411</v>
      </c>
      <c r="C489" t="s">
        <v>1412</v>
      </c>
      <c r="D489">
        <v>2008</v>
      </c>
      <c r="E489" t="s">
        <v>1082</v>
      </c>
      <c r="F489" t="str">
        <f>HYPERLINK("https://www.szaktars.hu/harmattan/view/a-nepek-joga-visszateres-a-kozos-gondolkodas-eszmejehez/", "https://www.szaktars.hu/harmattan/view/a-nepek-joga-visszateres-a-kozos-gondolkodas-eszmejehez/")</f>
        <v>https://www.szaktars.hu/harmattan/view/a-nepek-joga-visszateres-a-kozos-gondolkodas-eszmejehez/</v>
      </c>
    </row>
    <row r="490" spans="1:6" x14ac:dyDescent="0.25">
      <c r="A490" t="s">
        <v>1413</v>
      </c>
      <c r="B490" t="s">
        <v>1414</v>
      </c>
      <c r="C490" t="s">
        <v>1415</v>
      </c>
      <c r="D490">
        <v>2007</v>
      </c>
      <c r="E490" t="s">
        <v>1082</v>
      </c>
      <c r="F490" t="str">
        <f>HYPERLINK("https://www.szaktars.hu/harmattan/view/filozofia-es-tarsadalmi-remeny/", "https://www.szaktars.hu/harmattan/view/filozofia-es-tarsadalmi-remeny/")</f>
        <v>https://www.szaktars.hu/harmattan/view/filozofia-es-tarsadalmi-remeny/</v>
      </c>
    </row>
    <row r="491" spans="1:6" x14ac:dyDescent="0.25">
      <c r="A491" t="s">
        <v>1416</v>
      </c>
      <c r="B491" t="s">
        <v>1417</v>
      </c>
      <c r="C491" t="s">
        <v>1418</v>
      </c>
      <c r="D491">
        <v>2014</v>
      </c>
      <c r="E491" t="s">
        <v>1082</v>
      </c>
      <c r="F491" t="str">
        <f>HYPERLINK("https://www.szaktars.hu/harmattan/view/majdnem-minden-a-megtort-totalitas-dialektikaja/", "https://www.szaktars.hu/harmattan/view/majdnem-minden-a-megtort-totalitas-dialektikaja/")</f>
        <v>https://www.szaktars.hu/harmattan/view/majdnem-minden-a-megtort-totalitas-dialektikaja/</v>
      </c>
    </row>
    <row r="492" spans="1:6" x14ac:dyDescent="0.25">
      <c r="A492" t="s">
        <v>1419</v>
      </c>
      <c r="B492" t="s">
        <v>1420</v>
      </c>
      <c r="C492" t="s">
        <v>1421</v>
      </c>
      <c r="D492">
        <v>2014</v>
      </c>
      <c r="E492" t="s">
        <v>1082</v>
      </c>
      <c r="F492" t="str">
        <f>HYPERLINK("https://www.szaktars.hu/harmattan/view/a-filozofia-mint-praxis-tanulmanyok-a-filozofia-a-pszichoterapia-es-a-szocialpedagogia-hatarteruleteirol/", "https://www.szaktars.hu/harmattan/view/a-filozofia-mint-praxis-tanulmanyok-a-filozofia-a-pszichoterapia-es-a-szocialpedagogia-hatarteruleteirol/")</f>
        <v>https://www.szaktars.hu/harmattan/view/a-filozofia-mint-praxis-tanulmanyok-a-filozofia-a-pszichoterapia-es-a-szocialpedagogia-hatarteruleteirol/</v>
      </c>
    </row>
    <row r="493" spans="1:6" x14ac:dyDescent="0.25">
      <c r="A493" t="s">
        <v>1422</v>
      </c>
      <c r="B493" t="s">
        <v>589</v>
      </c>
      <c r="C493" t="s">
        <v>1423</v>
      </c>
      <c r="D493">
        <v>2006</v>
      </c>
      <c r="E493" t="s">
        <v>1082</v>
      </c>
      <c r="F493" t="str">
        <f>HYPERLINK("https://www.szaktars.hu/harmattan/view/a-let-es-a-semmi/", "https://www.szaktars.hu/harmattan/view/a-let-es-a-semmi/")</f>
        <v>https://www.szaktars.hu/harmattan/view/a-let-es-a-semmi/</v>
      </c>
    </row>
    <row r="494" spans="1:6" x14ac:dyDescent="0.25">
      <c r="A494" t="s">
        <v>1424</v>
      </c>
      <c r="B494" t="s">
        <v>1425</v>
      </c>
      <c r="C494" t="s">
        <v>1426</v>
      </c>
      <c r="D494">
        <v>2010</v>
      </c>
      <c r="E494" t="s">
        <v>1082</v>
      </c>
      <c r="F494" t="str">
        <f>HYPERLINK("https://www.szaktars.hu/harmattan/view/bevezetes-philon-eletehez-es-irasaihoz/", "https://www.szaktars.hu/harmattan/view/bevezetes-philon-eletehez-es-irasaihoz/")</f>
        <v>https://www.szaktars.hu/harmattan/view/bevezetes-philon-eletehez-es-irasaihoz/</v>
      </c>
    </row>
    <row r="495" spans="1:6" x14ac:dyDescent="0.25">
      <c r="A495" t="s">
        <v>1427</v>
      </c>
      <c r="B495" t="s">
        <v>1428</v>
      </c>
      <c r="C495" t="s">
        <v>1429</v>
      </c>
      <c r="D495">
        <v>2010</v>
      </c>
      <c r="E495" t="s">
        <v>1082</v>
      </c>
      <c r="F495" t="str">
        <f>HYPERLINK("https://www.szaktars.hu/harmattan/view/lelek-es-elme-a-kartezianizmus-koraban-elmefilozofiai-szoveggyujtemeny/", "https://www.szaktars.hu/harmattan/view/lelek-es-elme-a-kartezianizmus-koraban-elmefilozofiai-szoveggyujtemeny/")</f>
        <v>https://www.szaktars.hu/harmattan/view/lelek-es-elme-a-kartezianizmus-koraban-elmefilozofiai-szoveggyujtemeny/</v>
      </c>
    </row>
    <row r="496" spans="1:6" x14ac:dyDescent="0.25">
      <c r="A496" t="s">
        <v>1430</v>
      </c>
      <c r="B496" t="s">
        <v>1431</v>
      </c>
      <c r="C496" t="s">
        <v>1432</v>
      </c>
      <c r="D496">
        <v>2006</v>
      </c>
      <c r="E496" t="s">
        <v>1082</v>
      </c>
      <c r="F496" t="str">
        <f>HYPERLINK("https://www.szaktars.hu/harmattan/view/termeszettorveny-es-gondviseles-egy-filozofiai-es-teologiai-kerdes-a-korai-felvilagosodasban/", "https://www.szaktars.hu/harmattan/view/termeszettorveny-es-gondviseles-egy-filozofiai-es-teologiai-kerdes-a-korai-felvilagosodasban/")</f>
        <v>https://www.szaktars.hu/harmattan/view/termeszettorveny-es-gondviseles-egy-filozofiai-es-teologiai-kerdes-a-korai-felvilagosodasban/</v>
      </c>
    </row>
    <row r="497" spans="1:6" x14ac:dyDescent="0.25">
      <c r="A497" t="s">
        <v>1433</v>
      </c>
      <c r="B497" t="s">
        <v>1434</v>
      </c>
      <c r="C497" t="s">
        <v>1435</v>
      </c>
      <c r="D497">
        <v>2011</v>
      </c>
      <c r="E497" t="s">
        <v>1082</v>
      </c>
      <c r="F497" t="str">
        <f>HYPERLINK("https://www.szaktars.hu/harmattan/view/teodicea-es-tenyek-a-nemet-felvilagosodas-filozofiai-profilja/", "https://www.szaktars.hu/harmattan/view/teodicea-es-tenyek-a-nemet-felvilagosodas-filozofiai-profilja/")</f>
        <v>https://www.szaktars.hu/harmattan/view/teodicea-es-tenyek-a-nemet-felvilagosodas-filozofiai-profilja/</v>
      </c>
    </row>
    <row r="498" spans="1:6" x14ac:dyDescent="0.25">
      <c r="A498" t="s">
        <v>1436</v>
      </c>
      <c r="B498" t="s">
        <v>1437</v>
      </c>
      <c r="C498" t="s">
        <v>1438</v>
      </c>
      <c r="D498">
        <v>2013</v>
      </c>
      <c r="E498" t="s">
        <v>1082</v>
      </c>
      <c r="F498" t="str">
        <f>HYPERLINK("https://www.szaktars.hu/harmattan/view/arthur-schopenhauer-az-alap-tetelerol-kant-filozofiajanak-kritikaja/", "https://www.szaktars.hu/harmattan/view/arthur-schopenhauer-az-alap-tetelerol-kant-filozofiajanak-kritikaja/")</f>
        <v>https://www.szaktars.hu/harmattan/view/arthur-schopenhauer-az-alap-tetelerol-kant-filozofiajanak-kritikaja/</v>
      </c>
    </row>
    <row r="499" spans="1:6" x14ac:dyDescent="0.25">
      <c r="A499" t="s">
        <v>1439</v>
      </c>
      <c r="B499" t="s">
        <v>1440</v>
      </c>
      <c r="C499" t="s">
        <v>1441</v>
      </c>
      <c r="D499">
        <v>2003</v>
      </c>
      <c r="E499" t="s">
        <v>1082</v>
      </c>
      <c r="F499" t="str">
        <f>HYPERLINK("https://www.szaktars.hu/harmattan/view/tudomany-megerto-modban-hermeneutika-es-tudomanyfilozofia/", "https://www.szaktars.hu/harmattan/view/tudomany-megerto-modban-hermeneutika-es-tudomanyfilozofia/")</f>
        <v>https://www.szaktars.hu/harmattan/view/tudomany-megerto-modban-hermeneutika-es-tudomanyfilozofia/</v>
      </c>
    </row>
    <row r="500" spans="1:6" x14ac:dyDescent="0.25">
      <c r="A500" t="s">
        <v>1442</v>
      </c>
      <c r="B500" t="s">
        <v>1443</v>
      </c>
      <c r="C500" t="s">
        <v>1444</v>
      </c>
      <c r="D500">
        <v>2011</v>
      </c>
      <c r="E500" t="s">
        <v>1082</v>
      </c>
      <c r="F500" t="str">
        <f>HYPERLINK("https://www.szaktars.hu/harmattan/view/eljovendo-mult-genealogia-nietzschenel-husserlnel-es-heideggernel/", "https://www.szaktars.hu/harmattan/view/eljovendo-mult-genealogia-nietzschenel-husserlnel-es-heideggernel/")</f>
        <v>https://www.szaktars.hu/harmattan/view/eljovendo-mult-genealogia-nietzschenel-husserlnel-es-heideggernel/</v>
      </c>
    </row>
    <row r="501" spans="1:6" x14ac:dyDescent="0.25">
      <c r="A501" t="s">
        <v>1445</v>
      </c>
      <c r="B501" t="s">
        <v>1443</v>
      </c>
      <c r="C501" t="s">
        <v>1446</v>
      </c>
      <c r="D501">
        <v>2008</v>
      </c>
      <c r="E501" t="s">
        <v>1082</v>
      </c>
      <c r="F501" t="str">
        <f>HYPERLINK("https://www.szaktars.hu/harmattan/view/husserl-es-heidegger-egy-filozofiai-osszecsapas-analizise/", "https://www.szaktars.hu/harmattan/view/husserl-es-heidegger-egy-filozofiai-osszecsapas-analizise/")</f>
        <v>https://www.szaktars.hu/harmattan/view/husserl-es-heidegger-egy-filozofiai-osszecsapas-analizise/</v>
      </c>
    </row>
    <row r="502" spans="1:6" x14ac:dyDescent="0.25">
      <c r="A502" t="s">
        <v>1447</v>
      </c>
      <c r="B502" t="s">
        <v>1443</v>
      </c>
      <c r="C502" t="s">
        <v>1448</v>
      </c>
      <c r="D502">
        <v>2003</v>
      </c>
      <c r="E502" t="s">
        <v>1082</v>
      </c>
      <c r="F502" t="str">
        <f>HYPERLINK("https://www.szaktars.hu/harmattan/view/szabadsag-es-fenomenologia-tanulmanyod-husserlrol-es-heideggerrol/", "https://www.szaktars.hu/harmattan/view/szabadsag-es-fenomenologia-tanulmanyod-husserlrol-es-heideggerrol/")</f>
        <v>https://www.szaktars.hu/harmattan/view/szabadsag-es-fenomenologia-tanulmanyod-husserlrol-es-heideggerrol/</v>
      </c>
    </row>
    <row r="503" spans="1:6" x14ac:dyDescent="0.25">
      <c r="A503" t="s">
        <v>1449</v>
      </c>
      <c r="B503" t="s">
        <v>1450</v>
      </c>
      <c r="C503" t="s">
        <v>1451</v>
      </c>
      <c r="D503">
        <v>2012</v>
      </c>
      <c r="E503" t="s">
        <v>1082</v>
      </c>
      <c r="F503" t="str">
        <f>HYPERLINK("https://www.szaktars.hu/harmattan/view/letre-nyilt-lehetoseg-ismeretelmelet-es-metafizika-aquinoi-szent-tamas-es-duns-scotus-filozofiajaban/", "https://www.szaktars.hu/harmattan/view/letre-nyilt-lehetoseg-ismeretelmelet-es-metafizika-aquinoi-szent-tamas-es-duns-scotus-filozofiajaban/")</f>
        <v>https://www.szaktars.hu/harmattan/view/letre-nyilt-lehetoseg-ismeretelmelet-es-metafizika-aquinoi-szent-tamas-es-duns-scotus-filozofiajaban/</v>
      </c>
    </row>
    <row r="504" spans="1:6" x14ac:dyDescent="0.25">
      <c r="A504" t="s">
        <v>1452</v>
      </c>
      <c r="B504" t="s">
        <v>1453</v>
      </c>
      <c r="C504" t="s">
        <v>1454</v>
      </c>
      <c r="D504">
        <v>2004</v>
      </c>
      <c r="E504" t="s">
        <v>1082</v>
      </c>
      <c r="F504" t="str">
        <f>HYPERLINK("https://www.szaktars.hu/harmattan/view/a-filozofia-utjai-utkereso-ertelmezesek/", "https://www.szaktars.hu/harmattan/view/a-filozofia-utjai-utkereso-ertelmezesek/")</f>
        <v>https://www.szaktars.hu/harmattan/view/a-filozofia-utjai-utkereso-ertelmezesek/</v>
      </c>
    </row>
    <row r="505" spans="1:6" x14ac:dyDescent="0.25">
      <c r="A505" t="s">
        <v>1455</v>
      </c>
      <c r="B505" t="s">
        <v>1456</v>
      </c>
      <c r="C505" t="s">
        <v>1457</v>
      </c>
      <c r="D505">
        <v>2005</v>
      </c>
      <c r="E505" t="s">
        <v>1082</v>
      </c>
      <c r="F505" t="str">
        <f>HYPERLINK("https://www.szaktars.hu/harmattan/view/a-keletkezes-ontologiaja-a-vegtelen-fenomenologiaja/", "https://www.szaktars.hu/harmattan/view/a-keletkezes-ontologiaja-a-vegtelen-fenomenologiaja/")</f>
        <v>https://www.szaktars.hu/harmattan/view/a-keletkezes-ontologiaja-a-vegtelen-fenomenologiaja/</v>
      </c>
    </row>
    <row r="506" spans="1:6" x14ac:dyDescent="0.25">
      <c r="A506" t="s">
        <v>1458</v>
      </c>
      <c r="B506" t="s">
        <v>1456</v>
      </c>
      <c r="C506" t="s">
        <v>1459</v>
      </c>
      <c r="D506">
        <v>2012</v>
      </c>
      <c r="E506" t="s">
        <v>1082</v>
      </c>
      <c r="F506" t="str">
        <f>HYPERLINK("https://www.szaktars.hu/harmattan/view/a-libido-antinomiaja-es-mas-paradoxonok/", "https://www.szaktars.hu/harmattan/view/a-libido-antinomiaja-es-mas-paradoxonok/")</f>
        <v>https://www.szaktars.hu/harmattan/view/a-libido-antinomiaja-es-mas-paradoxonok/</v>
      </c>
    </row>
    <row r="507" spans="1:6" x14ac:dyDescent="0.25">
      <c r="A507" t="s">
        <v>1460</v>
      </c>
      <c r="B507" t="s">
        <v>1461</v>
      </c>
      <c r="C507" t="s">
        <v>1462</v>
      </c>
      <c r="D507">
        <v>2013</v>
      </c>
      <c r="E507" t="s">
        <v>1082</v>
      </c>
      <c r="F507" t="str">
        <f>HYPERLINK("https://www.szaktars.hu/harmattan/view/kortars-angolszasz-erzelemfilozofia/", "https://www.szaktars.hu/harmattan/view/kortars-angolszasz-erzelemfilozofia/")</f>
        <v>https://www.szaktars.hu/harmattan/view/kortars-angolszasz-erzelemfilozofia/</v>
      </c>
    </row>
    <row r="508" spans="1:6" x14ac:dyDescent="0.25">
      <c r="A508" t="s">
        <v>1463</v>
      </c>
      <c r="B508" t="s">
        <v>1464</v>
      </c>
      <c r="C508" t="s">
        <v>1465</v>
      </c>
      <c r="D508">
        <v>2005</v>
      </c>
      <c r="E508" t="s">
        <v>1082</v>
      </c>
      <c r="F508" t="str">
        <f>HYPERLINK("https://www.szaktars.hu/harmattan/view/letezik-e-isten-ateista-ervek-a-mai-angolszasz-filozofiaban/", "https://www.szaktars.hu/harmattan/view/letezik-e-isten-ateista-ervek-a-mai-angolszasz-filozofiaban/")</f>
        <v>https://www.szaktars.hu/harmattan/view/letezik-e-isten-ateista-ervek-a-mai-angolszasz-filozofiaban/</v>
      </c>
    </row>
    <row r="509" spans="1:6" x14ac:dyDescent="0.25">
      <c r="A509" t="s">
        <v>1466</v>
      </c>
      <c r="B509" t="s">
        <v>1467</v>
      </c>
      <c r="C509" t="s">
        <v>1468</v>
      </c>
      <c r="D509">
        <v>2015</v>
      </c>
      <c r="E509" t="s">
        <v>1082</v>
      </c>
      <c r="F509" t="str">
        <f>HYPERLINK("https://www.szaktars.hu/harmattan/view/a-szabadsag-iskolaja-koszonto-kotet-ludassy-maria-tiszteletere/", "https://www.szaktars.hu/harmattan/view/a-szabadsag-iskolaja-koszonto-kotet-ludassy-maria-tiszteletere/")</f>
        <v>https://www.szaktars.hu/harmattan/view/a-szabadsag-iskolaja-koszonto-kotet-ludassy-maria-tiszteletere/</v>
      </c>
    </row>
    <row r="510" spans="1:6" x14ac:dyDescent="0.25">
      <c r="A510" t="s">
        <v>1469</v>
      </c>
      <c r="B510" t="s">
        <v>1470</v>
      </c>
      <c r="C510" t="s">
        <v>1471</v>
      </c>
      <c r="D510">
        <v>2009</v>
      </c>
      <c r="E510" t="s">
        <v>1082</v>
      </c>
      <c r="F510" t="str">
        <f>HYPERLINK("https://www.szaktars.hu/harmattan/view/szepseg-es-szabadsag-eszmetorteneti-tanulmanyok/", "https://www.szaktars.hu/harmattan/view/szepseg-es-szabadsag-eszmetorteneti-tanulmanyok/")</f>
        <v>https://www.szaktars.hu/harmattan/view/szepseg-es-szabadsag-eszmetorteneti-tanulmanyok/</v>
      </c>
    </row>
    <row r="511" spans="1:6" x14ac:dyDescent="0.25">
      <c r="A511" t="s">
        <v>1472</v>
      </c>
      <c r="B511" t="s">
        <v>1473</v>
      </c>
      <c r="C511" t="s">
        <v>1474</v>
      </c>
      <c r="D511">
        <v>2007</v>
      </c>
      <c r="E511" t="s">
        <v>1082</v>
      </c>
      <c r="F511" t="str">
        <f>HYPERLINK("https://www.szaktars.hu/harmattan/view/a-magaban-valo-dolog-fenomenologiaja-egy-klasszikus-kanti-problema-husserl-transzcendentalis-fenomenologiajanak-perspektivajabol/", "https://www.szaktars.hu/harmattan/view/a-magaban-valo-dolog-fenomenologiaja-egy-klasszikus-kanti-problema-husserl-transzcendentalis-fenomenologiajanak-perspektivajabol/")</f>
        <v>https://www.szaktars.hu/harmattan/view/a-magaban-valo-dolog-fenomenologiaja-egy-klasszikus-kanti-problema-husserl-transzcendentalis-fenomenologiajanak-perspektivajabol/</v>
      </c>
    </row>
    <row r="512" spans="1:6" x14ac:dyDescent="0.25">
      <c r="A512" t="s">
        <v>1475</v>
      </c>
      <c r="B512" t="s">
        <v>1476</v>
      </c>
      <c r="C512" t="s">
        <v>1477</v>
      </c>
      <c r="D512">
        <v>2009</v>
      </c>
      <c r="E512" t="s">
        <v>1082</v>
      </c>
      <c r="F512" t="str">
        <f>HYPERLINK("https://www.szaktars.hu/harmattan/view/poszeidoniosz-toredekek-es-kommentar/", "https://www.szaktars.hu/harmattan/view/poszeidoniosz-toredekek-es-kommentar/")</f>
        <v>https://www.szaktars.hu/harmattan/view/poszeidoniosz-toredekek-es-kommentar/</v>
      </c>
    </row>
    <row r="513" spans="1:6" x14ac:dyDescent="0.25">
      <c r="A513" t="s">
        <v>1478</v>
      </c>
      <c r="B513" t="s">
        <v>1479</v>
      </c>
      <c r="C513" t="s">
        <v>1480</v>
      </c>
      <c r="D513">
        <v>2015</v>
      </c>
      <c r="E513" t="s">
        <v>1082</v>
      </c>
      <c r="F513" t="str">
        <f>HYPERLINK("https://www.szaktars.hu/harmattan/view/metafizika-magyarorszagon-konferenciaeloadasok-weissmahr-bela-filozofiai-oroksegerol/", "https://www.szaktars.hu/harmattan/view/metafizika-magyarorszagon-konferenciaeloadasok-weissmahr-bela-filozofiai-oroksegerol/")</f>
        <v>https://www.szaktars.hu/harmattan/view/metafizika-magyarorszagon-konferenciaeloadasok-weissmahr-bela-filozofiai-oroksegerol/</v>
      </c>
    </row>
    <row r="514" spans="1:6" x14ac:dyDescent="0.25">
      <c r="A514" t="s">
        <v>1481</v>
      </c>
      <c r="B514" t="s">
        <v>1482</v>
      </c>
      <c r="C514" t="s">
        <v>1483</v>
      </c>
      <c r="D514">
        <v>2013</v>
      </c>
      <c r="E514" t="s">
        <v>1082</v>
      </c>
      <c r="F514" t="str">
        <f>HYPERLINK("https://www.szaktars.hu/harmattan/view/a-fenomen-es-targya-fenomenologiai-ertelmezesek-es-elemzesek/", "https://www.szaktars.hu/harmattan/view/a-fenomen-es-targya-fenomenologiai-ertelmezesek-es-elemzesek/")</f>
        <v>https://www.szaktars.hu/harmattan/view/a-fenomen-es-targya-fenomenologiai-ertelmezesek-es-elemzesek/</v>
      </c>
    </row>
    <row r="515" spans="1:6" x14ac:dyDescent="0.25">
      <c r="A515" t="s">
        <v>1484</v>
      </c>
      <c r="B515" t="s">
        <v>1485</v>
      </c>
      <c r="C515" t="s">
        <v>1486</v>
      </c>
      <c r="D515">
        <v>2006</v>
      </c>
      <c r="E515" t="s">
        <v>1082</v>
      </c>
      <c r="F515" t="str">
        <f>HYPERLINK("https://www.szaktars.hu/harmattan/view/es-struktura-es-communitas/", "https://www.szaktars.hu/harmattan/view/es-struktura-es-communitas/")</f>
        <v>https://www.szaktars.hu/harmattan/view/es-struktura-es-communitas/</v>
      </c>
    </row>
    <row r="516" spans="1:6" x14ac:dyDescent="0.25">
      <c r="A516" t="s">
        <v>1487</v>
      </c>
      <c r="B516" t="s">
        <v>1488</v>
      </c>
      <c r="C516" t="s">
        <v>1489</v>
      </c>
      <c r="D516">
        <v>2008</v>
      </c>
      <c r="E516" t="s">
        <v>1082</v>
      </c>
      <c r="F516" t="str">
        <f>HYPERLINK("https://www.szaktars.hu/harmattan/view/ami-hianyzik-bolyai-janos-appendixebol-es-ami-nem/", "https://www.szaktars.hu/harmattan/view/ami-hianyzik-bolyai-janos-appendixebol-es-ami-nem/")</f>
        <v>https://www.szaktars.hu/harmattan/view/ami-hianyzik-bolyai-janos-appendixebol-es-ami-nem/</v>
      </c>
    </row>
    <row r="517" spans="1:6" x14ac:dyDescent="0.25">
      <c r="A517" t="s">
        <v>1490</v>
      </c>
      <c r="B517" t="s">
        <v>1491</v>
      </c>
      <c r="C517" t="s">
        <v>1492</v>
      </c>
      <c r="D517">
        <v>2016</v>
      </c>
      <c r="E517" t="s">
        <v>1082</v>
      </c>
      <c r="F517" t="str">
        <f>HYPERLINK("https://www.szaktars.hu/harmattan/view/tanulmanyok-immanuel-kant-aktualitasarol-amennyiben-szellemi-lenyek-vagyunk/", "https://www.szaktars.hu/harmattan/view/tanulmanyok-immanuel-kant-aktualitasarol-amennyiben-szellemi-lenyek-vagyunk/")</f>
        <v>https://www.szaktars.hu/harmattan/view/tanulmanyok-immanuel-kant-aktualitasarol-amennyiben-szellemi-lenyek-vagyunk/</v>
      </c>
    </row>
    <row r="518" spans="1:6" x14ac:dyDescent="0.25">
      <c r="A518" t="s">
        <v>1493</v>
      </c>
      <c r="B518" t="s">
        <v>1494</v>
      </c>
      <c r="C518" t="s">
        <v>1495</v>
      </c>
      <c r="D518">
        <v>2016</v>
      </c>
      <c r="E518" t="s">
        <v>1082</v>
      </c>
      <c r="F518" t="str">
        <f>HYPERLINK("https://www.szaktars.hu/harmattan/view/a-tomeg-es-az-elitmuveszet-esztetikai-jelentese-ortega-spengler-es-walter-benjamin-filozofiajaban/", "https://www.szaktars.hu/harmattan/view/a-tomeg-es-az-elitmuveszet-esztetikai-jelentese-ortega-spengler-es-walter-benjamin-filozofiajaban/")</f>
        <v>https://www.szaktars.hu/harmattan/view/a-tomeg-es-az-elitmuveszet-esztetikai-jelentese-ortega-spengler-es-walter-benjamin-filozofiajaban/</v>
      </c>
    </row>
    <row r="519" spans="1:6" x14ac:dyDescent="0.25">
      <c r="A519" t="s">
        <v>1496</v>
      </c>
      <c r="B519" t="s">
        <v>1497</v>
      </c>
      <c r="C519" t="s">
        <v>1498</v>
      </c>
      <c r="D519">
        <v>2009</v>
      </c>
      <c r="E519" t="s">
        <v>1082</v>
      </c>
      <c r="F519" t="str">
        <f>HYPERLINK("https://www.szaktars.hu/harmattan/view/bolcsessegkeresok/", "https://www.szaktars.hu/harmattan/view/bolcsessegkeresok/")</f>
        <v>https://www.szaktars.hu/harmattan/view/bolcsessegkeresok/</v>
      </c>
    </row>
    <row r="520" spans="1:6" x14ac:dyDescent="0.25">
      <c r="A520" t="s">
        <v>1499</v>
      </c>
      <c r="B520" t="s">
        <v>1500</v>
      </c>
      <c r="C520" t="s">
        <v>1501</v>
      </c>
      <c r="D520">
        <v>2015</v>
      </c>
      <c r="E520" t="s">
        <v>1082</v>
      </c>
      <c r="F520" t="str">
        <f>HYPERLINK("https://www.szaktars.hu/harmattan/view/a-teoria/", "https://www.szaktars.hu/harmattan/view/a-teoria/")</f>
        <v>https://www.szaktars.hu/harmattan/view/a-teoria/</v>
      </c>
    </row>
    <row r="521" spans="1:6" x14ac:dyDescent="0.25">
      <c r="A521" t="s">
        <v>1502</v>
      </c>
      <c r="B521" t="s">
        <v>1503</v>
      </c>
      <c r="C521" t="s">
        <v>1504</v>
      </c>
      <c r="D521">
        <v>2009</v>
      </c>
      <c r="E521" t="s">
        <v>1082</v>
      </c>
      <c r="F521" t="str">
        <f>HYPERLINK("https://www.szaktars.hu/harmattan/view/metafizikai-dilemmak-szubsztanciak-tropusok-valtozas/", "https://www.szaktars.hu/harmattan/view/metafizikai-dilemmak-szubsztanciak-tropusok-valtozas/")</f>
        <v>https://www.szaktars.hu/harmattan/view/metafizikai-dilemmak-szubsztanciak-tropusok-valtozas/</v>
      </c>
    </row>
    <row r="522" spans="1:6" x14ac:dyDescent="0.25">
      <c r="A522" t="s">
        <v>1505</v>
      </c>
      <c r="B522" t="s">
        <v>1506</v>
      </c>
      <c r="C522" t="s">
        <v>1507</v>
      </c>
      <c r="D522">
        <v>2011</v>
      </c>
      <c r="E522" t="s">
        <v>1082</v>
      </c>
      <c r="F522" t="str">
        <f>HYPERLINK("https://www.szaktars.hu/harmattan/view/sartre-es-merleau-ponty-a-francia-fenomenologia-klasszikus-korszaka/", "https://www.szaktars.hu/harmattan/view/sartre-es-merleau-ponty-a-francia-fenomenologia-klasszikus-korszaka/")</f>
        <v>https://www.szaktars.hu/harmattan/view/sartre-es-merleau-ponty-a-francia-fenomenologia-klasszikus-korszaka/</v>
      </c>
    </row>
    <row r="523" spans="1:6" x14ac:dyDescent="0.25">
      <c r="A523" t="s">
        <v>1508</v>
      </c>
      <c r="B523" t="s">
        <v>1509</v>
      </c>
      <c r="C523" t="s">
        <v>1510</v>
      </c>
      <c r="D523">
        <v>2010</v>
      </c>
      <c r="E523" t="s">
        <v>1082</v>
      </c>
      <c r="F523" t="str">
        <f>HYPERLINK("https://www.szaktars.hu/harmattan/view/a-lathatatlan-forma-sematizmus-es-intencionalitas/", "https://www.szaktars.hu/harmattan/view/a-lathatatlan-forma-sematizmus-es-intencionalitas/")</f>
        <v>https://www.szaktars.hu/harmattan/view/a-lathatatlan-forma-sematizmus-es-intencionalitas/</v>
      </c>
    </row>
    <row r="524" spans="1:6" x14ac:dyDescent="0.25">
      <c r="A524" t="s">
        <v>1511</v>
      </c>
      <c r="B524" t="s">
        <v>1509</v>
      </c>
      <c r="C524" t="s">
        <v>1512</v>
      </c>
      <c r="D524">
        <v>2012</v>
      </c>
      <c r="E524" t="s">
        <v>1082</v>
      </c>
      <c r="F524" t="str">
        <f>HYPERLINK("https://www.szaktars.hu/harmattan/view/az-ertelem-dimenzioi/", "https://www.szaktars.hu/harmattan/view/az-ertelem-dimenzioi/")</f>
        <v>https://www.szaktars.hu/harmattan/view/az-ertelem-dimenzioi/</v>
      </c>
    </row>
    <row r="525" spans="1:6" x14ac:dyDescent="0.25">
      <c r="A525" t="s">
        <v>1513</v>
      </c>
      <c r="B525" t="s">
        <v>1514</v>
      </c>
      <c r="C525" t="s">
        <v>1515</v>
      </c>
      <c r="D525">
        <v>2009</v>
      </c>
      <c r="E525" t="s">
        <v>1082</v>
      </c>
      <c r="F525" t="str">
        <f>HYPERLINK("https://www.szaktars.hu/harmattan/view/esz-es-kinyilatkoztatas-kozott-a-lessing-goeze-vita-esztetikatorteneti-jelentosegerol/", "https://www.szaktars.hu/harmattan/view/esz-es-kinyilatkoztatas-kozott-a-lessing-goeze-vita-esztetikatorteneti-jelentosegerol/")</f>
        <v>https://www.szaktars.hu/harmattan/view/esz-es-kinyilatkoztatas-kozott-a-lessing-goeze-vita-esztetikatorteneti-jelentosegerol/</v>
      </c>
    </row>
    <row r="526" spans="1:6" x14ac:dyDescent="0.25">
      <c r="A526" t="s">
        <v>1516</v>
      </c>
      <c r="B526" t="s">
        <v>1517</v>
      </c>
      <c r="C526" t="s">
        <v>1518</v>
      </c>
      <c r="D526">
        <v>2011</v>
      </c>
      <c r="E526" t="s">
        <v>1082</v>
      </c>
      <c r="F526" t="str">
        <f>HYPERLINK("https://www.szaktars.hu/harmattan/view/az-uj-husserl-szemelvenyek-az-eletmu-ismeretlen-fejezeteibol/", "https://www.szaktars.hu/harmattan/view/az-uj-husserl-szemelvenyek-az-eletmu-ismeretlen-fejezeteibol/")</f>
        <v>https://www.szaktars.hu/harmattan/view/az-uj-husserl-szemelvenyek-az-eletmu-ismeretlen-fejezeteibol/</v>
      </c>
    </row>
    <row r="527" spans="1:6" x14ac:dyDescent="0.25">
      <c r="A527" t="s">
        <v>1519</v>
      </c>
      <c r="B527" t="s">
        <v>1517</v>
      </c>
      <c r="C527" t="s">
        <v>1520</v>
      </c>
      <c r="D527">
        <v>2009</v>
      </c>
      <c r="E527" t="s">
        <v>1082</v>
      </c>
      <c r="F527" t="str">
        <f>HYPERLINK("https://www.szaktars.hu/harmattan/view/husserl-es-a-logikai-vizsgalodasok-ismeretfilozofia-es-fenomenologiai-filozofia/", "https://www.szaktars.hu/harmattan/view/husserl-es-a-logikai-vizsgalodasok-ismeretfilozofia-es-fenomenologiai-filozofia/")</f>
        <v>https://www.szaktars.hu/harmattan/view/husserl-es-a-logikai-vizsgalodasok-ismeretfilozofia-es-fenomenologiai-filozofia/</v>
      </c>
    </row>
    <row r="528" spans="1:6" x14ac:dyDescent="0.25">
      <c r="A528" t="s">
        <v>1521</v>
      </c>
      <c r="B528" t="s">
        <v>1522</v>
      </c>
      <c r="C528" t="s">
        <v>1523</v>
      </c>
      <c r="D528">
        <v>2013</v>
      </c>
      <c r="E528" t="s">
        <v>1082</v>
      </c>
      <c r="F528" t="str">
        <f>HYPERLINK("https://www.szaktars.hu/harmattan/view/a-fenomenologia-keletkezese/", "https://www.szaktars.hu/harmattan/view/a-fenomenologia-keletkezese/")</f>
        <v>https://www.szaktars.hu/harmattan/view/a-fenomenologia-keletkezese/</v>
      </c>
    </row>
    <row r="529" spans="1:6" x14ac:dyDescent="0.25">
      <c r="A529" t="s">
        <v>1524</v>
      </c>
      <c r="B529" t="s">
        <v>1525</v>
      </c>
      <c r="C529" t="s">
        <v>1526</v>
      </c>
      <c r="D529">
        <v>2006</v>
      </c>
      <c r="E529" t="s">
        <v>1082</v>
      </c>
      <c r="F529" t="str">
        <f>HYPERLINK("https://www.szaktars.hu/harmattan/view/a-test-ethossza-a-test-es-a-masik-tapasztalatainak-osszefuggese-merleau-ponty-es-levinas-filozofiajaban/", "https://www.szaktars.hu/harmattan/view/a-test-ethossza-a-test-es-a-masik-tapasztalatainak-osszefuggese-merleau-ponty-es-levinas-filozofiajaban/")</f>
        <v>https://www.szaktars.hu/harmattan/view/a-test-ethossza-a-test-es-a-masik-tapasztalatainak-osszefuggese-merleau-ponty-es-levinas-filozofiajaban/</v>
      </c>
    </row>
    <row r="530" spans="1:6" x14ac:dyDescent="0.25">
      <c r="A530" t="s">
        <v>1527</v>
      </c>
      <c r="B530" t="s">
        <v>1528</v>
      </c>
      <c r="C530" t="s">
        <v>1529</v>
      </c>
      <c r="D530">
        <v>2011</v>
      </c>
      <c r="E530" t="s">
        <v>1082</v>
      </c>
      <c r="F530" t="str">
        <f>HYPERLINK("https://www.szaktars.hu/harmattan/view/esztetikai-gondolkodas/", "https://www.szaktars.hu/harmattan/view/esztetikai-gondolkodas/")</f>
        <v>https://www.szaktars.hu/harmattan/view/esztetikai-gondolkodas/</v>
      </c>
    </row>
    <row r="531" spans="1:6" x14ac:dyDescent="0.25">
      <c r="A531" t="s">
        <v>1530</v>
      </c>
      <c r="B531" t="s">
        <v>1531</v>
      </c>
      <c r="C531" t="s">
        <v>1532</v>
      </c>
      <c r="D531">
        <v>2015</v>
      </c>
      <c r="E531" t="s">
        <v>1082</v>
      </c>
      <c r="F531" t="str">
        <f>HYPERLINK("https://www.szaktars.hu/harmattan/view/edmund-husserl-ismeretfilozofiaja/", "https://www.szaktars.hu/harmattan/view/edmund-husserl-ismeretfilozofiaja/")</f>
        <v>https://www.szaktars.hu/harmattan/view/edmund-husserl-ismeretfilozofiaja/</v>
      </c>
    </row>
    <row r="532" spans="1:6" x14ac:dyDescent="0.25">
      <c r="A532" t="s">
        <v>1533</v>
      </c>
      <c r="B532" t="s">
        <v>1534</v>
      </c>
      <c r="C532" t="s">
        <v>1535</v>
      </c>
      <c r="D532">
        <v>2013</v>
      </c>
      <c r="E532" t="s">
        <v>1082</v>
      </c>
      <c r="F532" t="str">
        <f>HYPERLINK("https://www.szaktars.hu/harmattan/view/nehogy-ervgyulolok-legyunk-tanulmanykotet-mate-andras-60-szuletesnapjara/", "https://www.szaktars.hu/harmattan/view/nehogy-ervgyulolok-legyunk-tanulmanykotet-mate-andras-60-szuletesnapjara/")</f>
        <v>https://www.szaktars.hu/harmattan/view/nehogy-ervgyulolok-legyunk-tanulmanykotet-mate-andras-60-szuletesnapjara/</v>
      </c>
    </row>
    <row r="533" spans="1:6" x14ac:dyDescent="0.25">
      <c r="A533" t="s">
        <v>1536</v>
      </c>
      <c r="B533" t="s">
        <v>1537</v>
      </c>
      <c r="C533" t="s">
        <v>1538</v>
      </c>
      <c r="D533">
        <v>2003</v>
      </c>
      <c r="E533" t="s">
        <v>1082</v>
      </c>
      <c r="F533" t="str">
        <f>HYPERLINK("https://www.szaktars.hu/harmattan/view/minden-kinyilatkoztatas-kritikajanak-kiserete/", "https://www.szaktars.hu/harmattan/view/minden-kinyilatkoztatas-kritikajanak-kiserete/")</f>
        <v>https://www.szaktars.hu/harmattan/view/minden-kinyilatkoztatas-kritikajanak-kiserete/</v>
      </c>
    </row>
    <row r="534" spans="1:6" x14ac:dyDescent="0.25">
      <c r="A534" t="s">
        <v>1539</v>
      </c>
      <c r="B534" t="s">
        <v>1540</v>
      </c>
      <c r="C534" t="s">
        <v>1541</v>
      </c>
      <c r="D534">
        <v>2016</v>
      </c>
      <c r="E534" t="s">
        <v>1082</v>
      </c>
      <c r="F534" t="str">
        <f>HYPERLINK("https://www.szaktars.hu/harmattan/view/mas-elmek/", "https://www.szaktars.hu/harmattan/view/mas-elmek/")</f>
        <v>https://www.szaktars.hu/harmattan/view/mas-elmek/</v>
      </c>
    </row>
    <row r="535" spans="1:6" x14ac:dyDescent="0.25">
      <c r="A535" t="s">
        <v>1542</v>
      </c>
      <c r="B535" t="s">
        <v>1543</v>
      </c>
      <c r="C535" t="s">
        <v>1544</v>
      </c>
      <c r="D535">
        <v>2012</v>
      </c>
      <c r="E535" t="s">
        <v>1082</v>
      </c>
      <c r="F535" t="str">
        <f>HYPERLINK("https://www.szaktars.hu/harmattan/view/az-erotikus-fenomen-hat-meditacio/", "https://www.szaktars.hu/harmattan/view/az-erotikus-fenomen-hat-meditacio/")</f>
        <v>https://www.szaktars.hu/harmattan/view/az-erotikus-fenomen-hat-meditacio/</v>
      </c>
    </row>
    <row r="536" spans="1:6" x14ac:dyDescent="0.25">
      <c r="A536" t="s">
        <v>1545</v>
      </c>
      <c r="B536" t="s">
        <v>1443</v>
      </c>
      <c r="C536" t="s">
        <v>1546</v>
      </c>
      <c r="D536">
        <v>2016</v>
      </c>
      <c r="E536" t="s">
        <v>1082</v>
      </c>
      <c r="F536" t="str">
        <f>HYPERLINK("https://www.szaktars.hu/harmattan/view/heidegger-es-a-nemzetiszocializmus-tanulmanyok/", "https://www.szaktars.hu/harmattan/view/heidegger-es-a-nemzetiszocializmus-tanulmanyok/")</f>
        <v>https://www.szaktars.hu/harmattan/view/heidegger-es-a-nemzetiszocializmus-tanulmanyok/</v>
      </c>
    </row>
    <row r="537" spans="1:6" x14ac:dyDescent="0.25">
      <c r="A537" t="s">
        <v>1547</v>
      </c>
      <c r="B537" t="s">
        <v>1548</v>
      </c>
      <c r="C537" t="s">
        <v>1549</v>
      </c>
      <c r="D537">
        <v>2017</v>
      </c>
      <c r="E537" t="s">
        <v>1082</v>
      </c>
      <c r="F537" t="str">
        <f>HYPERLINK("https://www.szaktars.hu/harmattan/view/hiany-es-letteljesseg-fejezetek-a-magyar-filozofia-tortenetebol/", "https://www.szaktars.hu/harmattan/view/hiany-es-letteljesseg-fejezetek-a-magyar-filozofia-tortenetebol/")</f>
        <v>https://www.szaktars.hu/harmattan/view/hiany-es-letteljesseg-fejezetek-a-magyar-filozofia-tortenetebol/</v>
      </c>
    </row>
    <row r="538" spans="1:6" x14ac:dyDescent="0.25">
      <c r="A538" t="s">
        <v>1550</v>
      </c>
      <c r="B538" t="s">
        <v>1551</v>
      </c>
      <c r="C538" t="s">
        <v>1552</v>
      </c>
      <c r="D538">
        <v>2005</v>
      </c>
      <c r="E538" t="s">
        <v>1082</v>
      </c>
      <c r="F538" t="str">
        <f>HYPERLINK("https://www.szaktars.hu/harmattan/view/simone-weil-vallasos-metafizikaja/", "https://www.szaktars.hu/harmattan/view/simone-weil-vallasos-metafizikaja/")</f>
        <v>https://www.szaktars.hu/harmattan/view/simone-weil-vallasos-metafizikaja/</v>
      </c>
    </row>
    <row r="539" spans="1:6" x14ac:dyDescent="0.25">
      <c r="A539" t="s">
        <v>1553</v>
      </c>
      <c r="B539" t="s">
        <v>1554</v>
      </c>
      <c r="C539" t="s">
        <v>1555</v>
      </c>
      <c r="D539">
        <v>2015</v>
      </c>
      <c r="E539" t="s">
        <v>1556</v>
      </c>
      <c r="F539" t="str">
        <f>HYPERLINK("https://www.szaktars.hu/harmattan/view/okopolitika-ideologia-baloldal/", "https://www.szaktars.hu/harmattan/view/okopolitika-ideologia-baloldal/")</f>
        <v>https://www.szaktars.hu/harmattan/view/okopolitika-ideologia-baloldal/</v>
      </c>
    </row>
    <row r="540" spans="1:6" x14ac:dyDescent="0.25">
      <c r="A540" t="s">
        <v>1557</v>
      </c>
      <c r="B540" t="s">
        <v>1558</v>
      </c>
      <c r="C540" t="s">
        <v>1559</v>
      </c>
      <c r="D540">
        <v>2015</v>
      </c>
      <c r="E540" t="s">
        <v>1556</v>
      </c>
      <c r="F540" t="str">
        <f>HYPERLINK("https://www.szaktars.hu/harmattan/view/klimaparadoxonok-lehet-e-harmonia-termeszet-es-tarsadalom-kozott/", "https://www.szaktars.hu/harmattan/view/klimaparadoxonok-lehet-e-harmonia-termeszet-es-tarsadalom-kozott/")</f>
        <v>https://www.szaktars.hu/harmattan/view/klimaparadoxonok-lehet-e-harmonia-termeszet-es-tarsadalom-kozott/</v>
      </c>
    </row>
    <row r="541" spans="1:6" x14ac:dyDescent="0.25">
      <c r="A541" t="s">
        <v>1560</v>
      </c>
      <c r="B541" t="s">
        <v>1561</v>
      </c>
      <c r="C541" t="s">
        <v>1562</v>
      </c>
      <c r="D541">
        <v>2005</v>
      </c>
      <c r="E541" t="s">
        <v>1556</v>
      </c>
      <c r="F541" t="str">
        <f>HYPERLINK("https://www.szaktars.hu/harmattan/view/elefant-a-hidon-gondolatok-az-okologiai-antropologiarol/", "https://www.szaktars.hu/harmattan/view/elefant-a-hidon-gondolatok-az-okologiai-antropologiarol/")</f>
        <v>https://www.szaktars.hu/harmattan/view/elefant-a-hidon-gondolatok-az-okologiai-antropologiarol/</v>
      </c>
    </row>
    <row r="542" spans="1:6" x14ac:dyDescent="0.25">
      <c r="A542" t="s">
        <v>1563</v>
      </c>
      <c r="B542" t="s">
        <v>304</v>
      </c>
      <c r="C542" t="s">
        <v>1564</v>
      </c>
      <c r="D542">
        <v>2016</v>
      </c>
      <c r="E542" t="s">
        <v>1556</v>
      </c>
      <c r="F542" t="str">
        <f>HYPERLINK("https://www.szaktars.hu/harmattan/view/az-uj-gyurufu-az-okofalu-koncepcioja-es-helye-a-fenntarthato-telepules-es-videkfejlesztesben/", "https://www.szaktars.hu/harmattan/view/az-uj-gyurufu-az-okofalu-koncepcioja-es-helye-a-fenntarthato-telepules-es-videkfejlesztesben/")</f>
        <v>https://www.szaktars.hu/harmattan/view/az-uj-gyurufu-az-okofalu-koncepcioja-es-helye-a-fenntarthato-telepules-es-videkfejlesztesben/</v>
      </c>
    </row>
    <row r="543" spans="1:6" x14ac:dyDescent="0.25">
      <c r="A543" t="s">
        <v>1565</v>
      </c>
      <c r="B543" t="s">
        <v>304</v>
      </c>
      <c r="C543" t="s">
        <v>1566</v>
      </c>
      <c r="D543">
        <v>2003</v>
      </c>
      <c r="E543" t="s">
        <v>1556</v>
      </c>
      <c r="F543" t="str">
        <f>HYPERLINK("https://www.szaktars.hu/harmattan/view/azok-a-bizonyos-konnyu-leptek-i-okologia-es-rendszerelmelet/", "https://www.szaktars.hu/harmattan/view/azok-a-bizonyos-konnyu-leptek-i-okologia-es-rendszerelmelet/")</f>
        <v>https://www.szaktars.hu/harmattan/view/azok-a-bizonyos-konnyu-leptek-i-okologia-es-rendszerelmelet/</v>
      </c>
    </row>
    <row r="544" spans="1:6" x14ac:dyDescent="0.25">
      <c r="A544" t="s">
        <v>1567</v>
      </c>
      <c r="B544" t="s">
        <v>1568</v>
      </c>
      <c r="C544" t="s">
        <v>1569</v>
      </c>
      <c r="D544">
        <v>2010</v>
      </c>
      <c r="E544" t="s">
        <v>1556</v>
      </c>
      <c r="F544" t="str">
        <f>HYPERLINK("https://www.szaktars.hu/harmattan/view/mezogazdasagi-okotoxikologia/", "https://www.szaktars.hu/harmattan/view/mezogazdasagi-okotoxikologia/")</f>
        <v>https://www.szaktars.hu/harmattan/view/mezogazdasagi-okotoxikologia/</v>
      </c>
    </row>
    <row r="545" spans="1:6" x14ac:dyDescent="0.25">
      <c r="A545" t="s">
        <v>1570</v>
      </c>
      <c r="B545" t="s">
        <v>1571</v>
      </c>
      <c r="C545" t="s">
        <v>1572</v>
      </c>
      <c r="D545">
        <v>2017</v>
      </c>
      <c r="E545" t="s">
        <v>1556</v>
      </c>
      <c r="F545" t="str">
        <f>HYPERLINK("https://www.szaktars.hu/harmattan/view/okologiai-labnyom-es-fenntarthatatlansag/", "https://www.szaktars.hu/harmattan/view/okologiai-labnyom-es-fenntarthatatlansag/")</f>
        <v>https://www.szaktars.hu/harmattan/view/okologiai-labnyom-es-fenntarthatatlansag/</v>
      </c>
    </row>
    <row r="546" spans="1:6" x14ac:dyDescent="0.25">
      <c r="A546" t="s">
        <v>1573</v>
      </c>
      <c r="B546" t="s">
        <v>1574</v>
      </c>
      <c r="C546" t="s">
        <v>1575</v>
      </c>
      <c r="D546">
        <v>2007</v>
      </c>
      <c r="E546" t="s">
        <v>1556</v>
      </c>
      <c r="F546" t="str">
        <f>HYPERLINK("https://www.szaktars.hu/harmattan/view/fenntarthatosag-es-globalizacio-a-fentarthatosag-pedagogiaja/", "https://www.szaktars.hu/harmattan/view/fenntarthatosag-es-globalizacio-a-fentarthatosag-pedagogiaja/")</f>
        <v>https://www.szaktars.hu/harmattan/view/fenntarthatosag-es-globalizacio-a-fentarthatosag-pedagogiaja/</v>
      </c>
    </row>
    <row r="547" spans="1:6" x14ac:dyDescent="0.25">
      <c r="A547" t="s">
        <v>1576</v>
      </c>
      <c r="B547" t="s">
        <v>1577</v>
      </c>
      <c r="C547" t="s">
        <v>1578</v>
      </c>
      <c r="D547">
        <v>2007</v>
      </c>
      <c r="E547" t="s">
        <v>1556</v>
      </c>
      <c r="F547" t="str">
        <f>HYPERLINK("https://www.szaktars.hu/harmattan/view/gazdagsagunk-ujrafelfedezese-fenntarthato-videki-gazdasagfejlesztes-elmeletben-es-gyakorlatban/", "https://www.szaktars.hu/harmattan/view/gazdagsagunk-ujrafelfedezese-fenntarthato-videki-gazdasagfejlesztes-elmeletben-es-gyakorlatban/")</f>
        <v>https://www.szaktars.hu/harmattan/view/gazdagsagunk-ujrafelfedezese-fenntarthato-videki-gazdasagfejlesztes-elmeletben-es-gyakorlatban/</v>
      </c>
    </row>
    <row r="548" spans="1:6" x14ac:dyDescent="0.25">
      <c r="A548" t="s">
        <v>1579</v>
      </c>
      <c r="B548" t="s">
        <v>1580</v>
      </c>
      <c r="C548" t="s">
        <v>1581</v>
      </c>
      <c r="D548">
        <v>2006</v>
      </c>
      <c r="E548" t="s">
        <v>1556</v>
      </c>
      <c r="F548" t="str">
        <f>HYPERLINK("https://www.szaktars.hu/harmattan/view/tiltando-tamogatasok-kornyezetvedelmi-szempontbol-karos-tamogatasok-a-magyar-gazdasagban/", "https://www.szaktars.hu/harmattan/view/tiltando-tamogatasok-kornyezetvedelmi-szempontbol-karos-tamogatasok-a-magyar-gazdasagban/")</f>
        <v>https://www.szaktars.hu/harmattan/view/tiltando-tamogatasok-kornyezetvedelmi-szempontbol-karos-tamogatasok-a-magyar-gazdasagban/</v>
      </c>
    </row>
    <row r="549" spans="1:6" x14ac:dyDescent="0.25">
      <c r="A549" t="s">
        <v>1582</v>
      </c>
      <c r="B549" t="s">
        <v>1583</v>
      </c>
      <c r="C549" t="s">
        <v>1584</v>
      </c>
      <c r="D549">
        <v>2005</v>
      </c>
      <c r="E549" t="s">
        <v>1556</v>
      </c>
      <c r="F549" t="str">
        <f>HYPERLINK("https://www.szaktars.hu/harmattan/view/kornyezet-es-etika-szoveggyujtemeny/", "https://www.szaktars.hu/harmattan/view/kornyezet-es-etika-szoveggyujtemeny/")</f>
        <v>https://www.szaktars.hu/harmattan/view/kornyezet-es-etika-szoveggyujtemeny/</v>
      </c>
    </row>
    <row r="550" spans="1:6" x14ac:dyDescent="0.25">
      <c r="A550" t="s">
        <v>1585</v>
      </c>
      <c r="B550" t="s">
        <v>1586</v>
      </c>
      <c r="C550" t="s">
        <v>1587</v>
      </c>
      <c r="D550">
        <v>2010</v>
      </c>
      <c r="E550" t="s">
        <v>1556</v>
      </c>
      <c r="F550" t="str">
        <f>HYPERLINK("https://www.szaktars.hu/harmattan/view/miert-fenntarthatatlan-ami-fenntarthato/", "https://www.szaktars.hu/harmattan/view/miert-fenntarthatatlan-ami-fenntarthato/")</f>
        <v>https://www.szaktars.hu/harmattan/view/miert-fenntarthatatlan-ami-fenntarthato/</v>
      </c>
    </row>
    <row r="551" spans="1:6" x14ac:dyDescent="0.25">
      <c r="A551" t="s">
        <v>1588</v>
      </c>
      <c r="B551" t="s">
        <v>1589</v>
      </c>
      <c r="C551" t="s">
        <v>1590</v>
      </c>
      <c r="D551">
        <v>2007</v>
      </c>
      <c r="E551" t="s">
        <v>1556</v>
      </c>
      <c r="F551" t="str">
        <f>HYPERLINK("https://www.szaktars.hu/harmattan/view/a-fenntarthato-tarsadalom/", "https://www.szaktars.hu/harmattan/view/a-fenntarthato-tarsadalom/")</f>
        <v>https://www.szaktars.hu/harmattan/view/a-fenntarthato-tarsadalom/</v>
      </c>
    </row>
    <row r="552" spans="1:6" x14ac:dyDescent="0.25">
      <c r="A552" t="s">
        <v>1591</v>
      </c>
      <c r="B552" t="s">
        <v>1589</v>
      </c>
      <c r="C552" t="s">
        <v>1592</v>
      </c>
      <c r="D552">
        <v>2007</v>
      </c>
      <c r="E552" t="s">
        <v>1556</v>
      </c>
      <c r="F552" t="str">
        <f>HYPERLINK("https://www.szaktars.hu/harmattan/view/a-globalizacio-folyamata/", "https://www.szaktars.hu/harmattan/view/a-globalizacio-folyamata/")</f>
        <v>https://www.szaktars.hu/harmattan/view/a-globalizacio-folyamata/</v>
      </c>
    </row>
    <row r="553" spans="1:6" x14ac:dyDescent="0.25">
      <c r="A553" t="s">
        <v>1593</v>
      </c>
      <c r="B553" t="s">
        <v>1589</v>
      </c>
      <c r="C553" t="s">
        <v>1594</v>
      </c>
      <c r="D553">
        <v>2010</v>
      </c>
      <c r="E553" t="s">
        <v>1556</v>
      </c>
      <c r="F553" t="str">
        <f>HYPERLINK("https://www.szaktars.hu/harmattan/view/az-ember-faj-a-foldnek-utak-az-okofilozofiahoz/", "https://www.szaktars.hu/harmattan/view/az-ember-faj-a-foldnek-utak-az-okofilozofiahoz/")</f>
        <v>https://www.szaktars.hu/harmattan/view/az-ember-faj-a-foldnek-utak-az-okofilozofiahoz/</v>
      </c>
    </row>
    <row r="554" spans="1:6" x14ac:dyDescent="0.25">
      <c r="A554" t="s">
        <v>1595</v>
      </c>
      <c r="B554" t="s">
        <v>1596</v>
      </c>
      <c r="C554" t="s">
        <v>1597</v>
      </c>
      <c r="D554">
        <v>2012</v>
      </c>
      <c r="E554" t="s">
        <v>1556</v>
      </c>
      <c r="F554" t="str">
        <f>HYPERLINK("https://www.szaktars.hu/harmattan/view/hamarosan-tul-keso-lesz-avagy-a-klimavaltozas-arnyekaban/", "https://www.szaktars.hu/harmattan/view/hamarosan-tul-keso-lesz-avagy-a-klimavaltozas-arnyekaban/")</f>
        <v>https://www.szaktars.hu/harmattan/view/hamarosan-tul-keso-lesz-avagy-a-klimavaltozas-arnyekaban/</v>
      </c>
    </row>
    <row r="555" spans="1:6" x14ac:dyDescent="0.25">
      <c r="A555" t="s">
        <v>1598</v>
      </c>
      <c r="B555" t="s">
        <v>1599</v>
      </c>
      <c r="C555" t="s">
        <v>1600</v>
      </c>
      <c r="D555">
        <v>2005</v>
      </c>
      <c r="E555" t="s">
        <v>1556</v>
      </c>
      <c r="F555" t="str">
        <f>HYPERLINK("https://www.szaktars.hu/harmattan/view/fenntarthato-eu-fele-kritikai-elemzes-az-europai-unio-es-magyarorszag-kornyezetpolitikajarol/", "https://www.szaktars.hu/harmattan/view/fenntarthato-eu-fele-kritikai-elemzes-az-europai-unio-es-magyarorszag-kornyezetpolitikajarol/")</f>
        <v>https://www.szaktars.hu/harmattan/view/fenntarthato-eu-fele-kritikai-elemzes-az-europai-unio-es-magyarorszag-kornyezetpolitikajarol/</v>
      </c>
    </row>
    <row r="556" spans="1:6" x14ac:dyDescent="0.25">
      <c r="A556" t="s">
        <v>1601</v>
      </c>
      <c r="B556" t="s">
        <v>1602</v>
      </c>
      <c r="C556" t="s">
        <v>1603</v>
      </c>
      <c r="D556">
        <v>2011</v>
      </c>
      <c r="E556" t="s">
        <v>1556</v>
      </c>
      <c r="F556" t="str">
        <f>HYPERLINK("https://www.szaktars.hu/harmattan/view/konzervativ-zoldseg-politikarol-gazdasagrol-jovo-idoben/", "https://www.szaktars.hu/harmattan/view/konzervativ-zoldseg-politikarol-gazdasagrol-jovo-idoben/")</f>
        <v>https://www.szaktars.hu/harmattan/view/konzervativ-zoldseg-politikarol-gazdasagrol-jovo-idoben/</v>
      </c>
    </row>
    <row r="557" spans="1:6" x14ac:dyDescent="0.25">
      <c r="A557" t="s">
        <v>1604</v>
      </c>
      <c r="B557" t="s">
        <v>1605</v>
      </c>
      <c r="C557" t="s">
        <v>1606</v>
      </c>
      <c r="D557">
        <v>2006</v>
      </c>
      <c r="E557" t="s">
        <v>1556</v>
      </c>
      <c r="F557" t="str">
        <f>HYPERLINK("https://www.szaktars.hu/harmattan/view/a-tarsadalmi-metabolizmus-a-fejlett-gazdasagok-anyagaramlasa/", "https://www.szaktars.hu/harmattan/view/a-tarsadalmi-metabolizmus-a-fejlett-gazdasagok-anyagaramlasa/")</f>
        <v>https://www.szaktars.hu/harmattan/view/a-tarsadalmi-metabolizmus-a-fejlett-gazdasagok-anyagaramlasa/</v>
      </c>
    </row>
    <row r="558" spans="1:6" x14ac:dyDescent="0.25">
      <c r="A558" t="s">
        <v>1607</v>
      </c>
      <c r="B558" t="s">
        <v>1608</v>
      </c>
      <c r="C558" t="s">
        <v>1609</v>
      </c>
      <c r="D558">
        <v>2014</v>
      </c>
      <c r="E558" t="s">
        <v>1556</v>
      </c>
      <c r="F558" t="str">
        <f>HYPERLINK("https://www.szaktars.hu/harmattan/view/hogy-megmaradjon-az-elet/", "https://www.szaktars.hu/harmattan/view/hogy-megmaradjon-az-elet/")</f>
        <v>https://www.szaktars.hu/harmattan/view/hogy-megmaradjon-az-elet/</v>
      </c>
    </row>
    <row r="559" spans="1:6" x14ac:dyDescent="0.25">
      <c r="A559" t="s">
        <v>1610</v>
      </c>
      <c r="B559" t="s">
        <v>1608</v>
      </c>
      <c r="C559" t="s">
        <v>1611</v>
      </c>
      <c r="D559">
        <v>2014</v>
      </c>
      <c r="E559" t="s">
        <v>1556</v>
      </c>
      <c r="F559" t="str">
        <f>HYPERLINK("https://www.szaktars.hu/harmattan/view/penzt-akarunk-vagy-eletet/", "https://www.szaktars.hu/harmattan/view/penzt-akarunk-vagy-eletet/")</f>
        <v>https://www.szaktars.hu/harmattan/view/penzt-akarunk-vagy-eletet/</v>
      </c>
    </row>
    <row r="560" spans="1:6" x14ac:dyDescent="0.25">
      <c r="A560" t="s">
        <v>1612</v>
      </c>
      <c r="B560" t="s">
        <v>1613</v>
      </c>
      <c r="C560" t="s">
        <v>1614</v>
      </c>
      <c r="D560">
        <v>2009</v>
      </c>
      <c r="E560" t="s">
        <v>1556</v>
      </c>
      <c r="F560" t="str">
        <f>HYPERLINK("https://www.szaktars.hu/harmattan/view/oikosz-es-polisz-zold-politikai-filozofiai-szoveggyujtemeny/", "https://www.szaktars.hu/harmattan/view/oikosz-es-polisz-zold-politikai-filozofiai-szoveggyujtemeny/")</f>
        <v>https://www.szaktars.hu/harmattan/view/oikosz-es-polisz-zold-politikai-filozofiai-szoveggyujtemeny/</v>
      </c>
    </row>
    <row r="561" spans="1:6" x14ac:dyDescent="0.25">
      <c r="A561" t="s">
        <v>1615</v>
      </c>
      <c r="B561" t="s">
        <v>1616</v>
      </c>
      <c r="C561" t="s">
        <v>1617</v>
      </c>
      <c r="D561">
        <v>2012</v>
      </c>
      <c r="E561" t="s">
        <v>1556</v>
      </c>
      <c r="F561" t="str">
        <f>HYPERLINK("https://www.szaktars.hu/harmattan/view/xantus-janos-irasai-a-humanetika-es-a-termeszetvedelem-megkozelitesebol/", "https://www.szaktars.hu/harmattan/view/xantus-janos-irasai-a-humanetika-es-a-termeszetvedelem-megkozelitesebol/")</f>
        <v>https://www.szaktars.hu/harmattan/view/xantus-janos-irasai-a-humanetika-es-a-termeszetvedelem-megkozelitesebol/</v>
      </c>
    </row>
    <row r="562" spans="1:6" x14ac:dyDescent="0.25">
      <c r="A562" t="s">
        <v>1618</v>
      </c>
      <c r="B562" t="s">
        <v>1619</v>
      </c>
      <c r="C562" t="s">
        <v>1620</v>
      </c>
      <c r="D562">
        <v>2007</v>
      </c>
      <c r="E562" t="s">
        <v>1556</v>
      </c>
      <c r="F562" t="str">
        <f>HYPERLINK("https://www.szaktars.hu/harmattan/view/fenntarthatosag-es-globalizacio-5-paradigmavaltas-kulturank-nehany-alapveto-meggyozodesenek-ujragondolasa/", "https://www.szaktars.hu/harmattan/view/fenntarthatosag-es-globalizacio-5-paradigmavaltas-kulturank-nehany-alapveto-meggyozodesenek-ujragondolasa/")</f>
        <v>https://www.szaktars.hu/harmattan/view/fenntarthatosag-es-globalizacio-5-paradigmavaltas-kulturank-nehany-alapveto-meggyozodesenek-ujragondolasa/</v>
      </c>
    </row>
    <row r="563" spans="1:6" x14ac:dyDescent="0.25">
      <c r="A563" t="s">
        <v>1621</v>
      </c>
      <c r="B563" t="s">
        <v>1622</v>
      </c>
      <c r="C563" t="s">
        <v>1623</v>
      </c>
      <c r="D563">
        <v>2008</v>
      </c>
      <c r="E563" t="s">
        <v>1556</v>
      </c>
      <c r="F563" t="str">
        <f>HYPERLINK("https://www.szaktars.hu/harmattan/view/bioszfera-atalakitasunk-nagy-ugrasai/", "https://www.szaktars.hu/harmattan/view/bioszfera-atalakitasunk-nagy-ugrasai/")</f>
        <v>https://www.szaktars.hu/harmattan/view/bioszfera-atalakitasunk-nagy-ugrasai/</v>
      </c>
    </row>
    <row r="564" spans="1:6" x14ac:dyDescent="0.25">
      <c r="A564" t="s">
        <v>1624</v>
      </c>
      <c r="B564" t="s">
        <v>1625</v>
      </c>
      <c r="C564" t="s">
        <v>1626</v>
      </c>
      <c r="D564">
        <v>2009</v>
      </c>
      <c r="E564" t="s">
        <v>1556</v>
      </c>
      <c r="F564" t="str">
        <f>HYPERLINK("https://www.szaktars.hu/harmattan/view/tiszta-atomenergia-radioaktiv-hulladekkezeles-magyarorszagon-es-kulfoldon/", "https://www.szaktars.hu/harmattan/view/tiszta-atomenergia-radioaktiv-hulladekkezeles-magyarorszagon-es-kulfoldon/")</f>
        <v>https://www.szaktars.hu/harmattan/view/tiszta-atomenergia-radioaktiv-hulladekkezeles-magyarorszagon-es-kulfoldon/</v>
      </c>
    </row>
    <row r="565" spans="1:6" x14ac:dyDescent="0.25">
      <c r="A565" t="s">
        <v>1627</v>
      </c>
      <c r="B565" t="s">
        <v>1628</v>
      </c>
      <c r="C565" t="s">
        <v>1629</v>
      </c>
      <c r="D565">
        <v>2003</v>
      </c>
      <c r="E565" t="s">
        <v>1556</v>
      </c>
      <c r="F565" t="str">
        <f>HYPERLINK("https://www.szaktars.hu/harmattan/view/okologiai-gazdasagtan-es-monetarizmus/", "https://www.szaktars.hu/harmattan/view/okologiai-gazdasagtan-es-monetarizmus/")</f>
        <v>https://www.szaktars.hu/harmattan/view/okologiai-gazdasagtan-es-monetarizmus/</v>
      </c>
    </row>
    <row r="566" spans="1:6" x14ac:dyDescent="0.25">
      <c r="A566" t="s">
        <v>1630</v>
      </c>
      <c r="B566" t="s">
        <v>1631</v>
      </c>
      <c r="C566" t="s">
        <v>1632</v>
      </c>
      <c r="D566">
        <v>2011</v>
      </c>
      <c r="E566" t="s">
        <v>1633</v>
      </c>
      <c r="F566" t="str">
        <f>HYPERLINK("https://www.szaktars.hu/harmattan/view/ami-a-tankonyvekbol-kimaradt-irodalomora-haladoknak/", "https://www.szaktars.hu/harmattan/view/ami-a-tankonyvekbol-kimaradt-irodalomora-haladoknak/")</f>
        <v>https://www.szaktars.hu/harmattan/view/ami-a-tankonyvekbol-kimaradt-irodalomora-haladoknak/</v>
      </c>
    </row>
    <row r="567" spans="1:6" x14ac:dyDescent="0.25">
      <c r="A567" t="s">
        <v>1634</v>
      </c>
      <c r="B567" t="s">
        <v>1631</v>
      </c>
      <c r="C567" t="s">
        <v>1635</v>
      </c>
      <c r="D567">
        <v>2013</v>
      </c>
      <c r="E567" t="s">
        <v>1633</v>
      </c>
      <c r="F567" t="str">
        <f>HYPERLINK("https://www.szaktars.hu/harmattan/view/gyermektelen-irok-a-diktatura-idejen/", "https://www.szaktars.hu/harmattan/view/gyermektelen-irok-a-diktatura-idejen/")</f>
        <v>https://www.szaktars.hu/harmattan/view/gyermektelen-irok-a-diktatura-idejen/</v>
      </c>
    </row>
    <row r="568" spans="1:6" x14ac:dyDescent="0.25">
      <c r="A568" t="s">
        <v>1636</v>
      </c>
      <c r="B568" t="s">
        <v>1631</v>
      </c>
      <c r="C568" t="s">
        <v>1637</v>
      </c>
      <c r="D568">
        <v>2015</v>
      </c>
      <c r="E568" t="s">
        <v>1633</v>
      </c>
      <c r="F568" t="str">
        <f>HYPERLINK("https://www.szaktars.hu/harmattan/view/horizontmentes-esszek-tanulmanyok-palyakepek/", "https://www.szaktars.hu/harmattan/view/horizontmentes-esszek-tanulmanyok-palyakepek/")</f>
        <v>https://www.szaktars.hu/harmattan/view/horizontmentes-esszek-tanulmanyok-palyakepek/</v>
      </c>
    </row>
    <row r="569" spans="1:6" x14ac:dyDescent="0.25">
      <c r="A569" t="s">
        <v>1638</v>
      </c>
      <c r="B569" t="s">
        <v>1639</v>
      </c>
      <c r="C569" t="s">
        <v>1640</v>
      </c>
      <c r="D569">
        <v>2013</v>
      </c>
      <c r="E569" t="s">
        <v>1633</v>
      </c>
      <c r="F569" t="str">
        <f>HYPERLINK("https://www.szaktars.hu/harmattan/view/biblia-historia-es-bolcselet-a-felvilagosodas-koraban/", "https://www.szaktars.hu/harmattan/view/biblia-historia-es-bolcselet-a-felvilagosodas-koraban/")</f>
        <v>https://www.szaktars.hu/harmattan/view/biblia-historia-es-bolcselet-a-felvilagosodas-koraban/</v>
      </c>
    </row>
    <row r="570" spans="1:6" x14ac:dyDescent="0.25">
      <c r="A570" t="s">
        <v>1641</v>
      </c>
      <c r="B570" t="s">
        <v>1642</v>
      </c>
      <c r="C570" t="s">
        <v>1643</v>
      </c>
      <c r="D570">
        <v>2008</v>
      </c>
      <c r="E570" t="s">
        <v>1633</v>
      </c>
      <c r="F570" t="str">
        <f>HYPERLINK("https://www.szaktars.hu/harmattan/view/a-szerzo-arnykepe-romantikus-koltomitosz-kierkegaard-es-e-t-a-hoffmann-alkotasesztetikajaban/", "https://www.szaktars.hu/harmattan/view/a-szerzo-arnykepe-romantikus-koltomitosz-kierkegaard-es-e-t-a-hoffmann-alkotasesztetikajaban/")</f>
        <v>https://www.szaktars.hu/harmattan/view/a-szerzo-arnykepe-romantikus-koltomitosz-kierkegaard-es-e-t-a-hoffmann-alkotasesztetikajaban/</v>
      </c>
    </row>
    <row r="571" spans="1:6" x14ac:dyDescent="0.25">
      <c r="A571" t="s">
        <v>1644</v>
      </c>
      <c r="B571" t="s">
        <v>1113</v>
      </c>
      <c r="C571" t="s">
        <v>1645</v>
      </c>
      <c r="D571">
        <v>2009</v>
      </c>
      <c r="E571" t="s">
        <v>1633</v>
      </c>
      <c r="F571" t="str">
        <f>HYPERLINK("https://www.szaktars.hu/harmattan/view/paul-celan-a-serult-elet-poetikaja/", "https://www.szaktars.hu/harmattan/view/paul-celan-a-serult-elet-poetikaja/")</f>
        <v>https://www.szaktars.hu/harmattan/view/paul-celan-a-serult-elet-poetikaja/</v>
      </c>
    </row>
    <row r="572" spans="1:6" x14ac:dyDescent="0.25">
      <c r="A572" t="s">
        <v>1646</v>
      </c>
      <c r="B572" t="s">
        <v>1647</v>
      </c>
      <c r="C572" t="s">
        <v>1648</v>
      </c>
      <c r="D572">
        <v>2016</v>
      </c>
      <c r="E572" t="s">
        <v>1633</v>
      </c>
      <c r="F572" t="str">
        <f>HYPERLINK("https://www.szaktars.hu/harmattan/view/tegnap-is-van-nem-csak-holnap-arday-gezaval-beszelget-borbely-laszlo/", "https://www.szaktars.hu/harmattan/view/tegnap-is-van-nem-csak-holnap-arday-gezaval-beszelget-borbely-laszlo/")</f>
        <v>https://www.szaktars.hu/harmattan/view/tegnap-is-van-nem-csak-holnap-arday-gezaval-beszelget-borbely-laszlo/</v>
      </c>
    </row>
    <row r="573" spans="1:6" x14ac:dyDescent="0.25">
      <c r="A573" t="s">
        <v>1649</v>
      </c>
      <c r="B573" t="s">
        <v>1650</v>
      </c>
      <c r="C573" t="s">
        <v>1651</v>
      </c>
      <c r="D573">
        <v>2007</v>
      </c>
      <c r="E573" t="s">
        <v>1633</v>
      </c>
      <c r="F573" t="str">
        <f>HYPERLINK("https://www.szaktars.hu/harmattan/view/amathus-valogatott-tanulmanyok-i/", "https://www.szaktars.hu/harmattan/view/amathus-valogatott-tanulmanyok-i/")</f>
        <v>https://www.szaktars.hu/harmattan/view/amathus-valogatott-tanulmanyok-i/</v>
      </c>
    </row>
    <row r="574" spans="1:6" x14ac:dyDescent="0.25">
      <c r="A574" t="s">
        <v>1652</v>
      </c>
      <c r="B574" t="s">
        <v>1650</v>
      </c>
      <c r="C574" t="s">
        <v>1653</v>
      </c>
      <c r="D574">
        <v>2007</v>
      </c>
      <c r="E574" t="s">
        <v>1633</v>
      </c>
      <c r="F574" t="str">
        <f>HYPERLINK("https://www.szaktars.hu/harmattan/view/amathus-valogatott-tanulmanyok-ii/", "https://www.szaktars.hu/harmattan/view/amathus-valogatott-tanulmanyok-ii/")</f>
        <v>https://www.szaktars.hu/harmattan/view/amathus-valogatott-tanulmanyok-ii/</v>
      </c>
    </row>
    <row r="575" spans="1:6" x14ac:dyDescent="0.25">
      <c r="A575" t="s">
        <v>1654</v>
      </c>
      <c r="B575" t="s">
        <v>1655</v>
      </c>
      <c r="C575" t="s">
        <v>1656</v>
      </c>
      <c r="D575">
        <v>2016</v>
      </c>
      <c r="E575" t="s">
        <v>1633</v>
      </c>
      <c r="F575" t="str">
        <f>HYPERLINK("https://www.szaktars.hu/harmattan/view/az-eljovendo-arnyekai-a-figuralis-tipologiai-olvasas/", "https://www.szaktars.hu/harmattan/view/az-eljovendo-arnyekai-a-figuralis-tipologiai-olvasas/")</f>
        <v>https://www.szaktars.hu/harmattan/view/az-eljovendo-arnyekai-a-figuralis-tipologiai-olvasas/</v>
      </c>
    </row>
    <row r="576" spans="1:6" x14ac:dyDescent="0.25">
      <c r="A576" t="s">
        <v>1657</v>
      </c>
      <c r="B576" t="s">
        <v>1658</v>
      </c>
      <c r="C576" t="s">
        <v>1659</v>
      </c>
      <c r="D576">
        <v>2015</v>
      </c>
      <c r="E576" t="s">
        <v>1633</v>
      </c>
      <c r="F576" t="str">
        <f>HYPERLINK("https://www.szaktars.hu/harmattan/view/tul-posztokon-es-izmusokon/", "https://www.szaktars.hu/harmattan/view/tul-posztokon-es-izmusokon/")</f>
        <v>https://www.szaktars.hu/harmattan/view/tul-posztokon-es-izmusokon/</v>
      </c>
    </row>
    <row r="577" spans="1:6" x14ac:dyDescent="0.25">
      <c r="A577" t="s">
        <v>1660</v>
      </c>
      <c r="B577" t="s">
        <v>1661</v>
      </c>
      <c r="C577" t="s">
        <v>1662</v>
      </c>
      <c r="D577">
        <v>2014</v>
      </c>
      <c r="E577" t="s">
        <v>1633</v>
      </c>
      <c r="F577" t="str">
        <f>HYPERLINK("https://www.szaktars.hu/harmattan/view/az-alany-mint-targy-kritikak-es-megemlekezesek-1992-2013/", "https://www.szaktars.hu/harmattan/view/az-alany-mint-targy-kritikak-es-megemlekezesek-1992-2013/")</f>
        <v>https://www.szaktars.hu/harmattan/view/az-alany-mint-targy-kritikak-es-megemlekezesek-1992-2013/</v>
      </c>
    </row>
    <row r="578" spans="1:6" x14ac:dyDescent="0.25">
      <c r="A578" t="s">
        <v>1663</v>
      </c>
      <c r="B578" t="s">
        <v>1661</v>
      </c>
      <c r="C578" t="s">
        <v>1664</v>
      </c>
      <c r="D578">
        <v>2014</v>
      </c>
      <c r="E578" t="s">
        <v>1633</v>
      </c>
      <c r="F578" t="str">
        <f>HYPERLINK("https://www.szaktars.hu/harmattan/view/korvonalak-a-kodben-tanulmanyok-kolteszetrol/", "https://www.szaktars.hu/harmattan/view/korvonalak-a-kodben-tanulmanyok-kolteszetrol/")</f>
        <v>https://www.szaktars.hu/harmattan/view/korvonalak-a-kodben-tanulmanyok-kolteszetrol/</v>
      </c>
    </row>
    <row r="579" spans="1:6" x14ac:dyDescent="0.25">
      <c r="A579" t="s">
        <v>1665</v>
      </c>
      <c r="B579" t="s">
        <v>1666</v>
      </c>
      <c r="C579" t="s">
        <v>1667</v>
      </c>
      <c r="D579">
        <v>2005</v>
      </c>
      <c r="E579" t="s">
        <v>1633</v>
      </c>
      <c r="F579" t="str">
        <f>HYPERLINK("https://www.szaktars.hu/harmattan/view/a-rejtelyes-aeneis/", "https://www.szaktars.hu/harmattan/view/a-rejtelyes-aeneis/")</f>
        <v>https://www.szaktars.hu/harmattan/view/a-rejtelyes-aeneis/</v>
      </c>
    </row>
    <row r="580" spans="1:6" x14ac:dyDescent="0.25">
      <c r="A580" t="s">
        <v>1668</v>
      </c>
      <c r="B580" t="s">
        <v>1669</v>
      </c>
      <c r="C580" t="s">
        <v>1670</v>
      </c>
      <c r="D580">
        <v>2013</v>
      </c>
      <c r="E580" t="s">
        <v>1633</v>
      </c>
      <c r="F580" t="str">
        <f>HYPERLINK("https://www.szaktars.hu/harmattan/view/kozelitesek-a-szatirahoz-parbeszed-kotetek-6/", "https://www.szaktars.hu/harmattan/view/kozelitesek-a-szatirahoz-parbeszed-kotetek-6/")</f>
        <v>https://www.szaktars.hu/harmattan/view/kozelitesek-a-szatirahoz-parbeszed-kotetek-6/</v>
      </c>
    </row>
    <row r="581" spans="1:6" x14ac:dyDescent="0.25">
      <c r="A581" t="s">
        <v>1671</v>
      </c>
      <c r="B581" t="s">
        <v>1672</v>
      </c>
      <c r="C581" t="s">
        <v>1673</v>
      </c>
      <c r="D581">
        <v>2014</v>
      </c>
      <c r="E581" t="s">
        <v>1633</v>
      </c>
      <c r="F581" t="str">
        <f>HYPERLINK("https://www.szaktars.hu/harmattan/view/good-to-be-56-writings-in-honour-of-tibor-fischers-birthdays/", "https://www.szaktars.hu/harmattan/view/good-to-be-56-writings-in-honour-of-tibor-fischers-birthdays/")</f>
        <v>https://www.szaktars.hu/harmattan/view/good-to-be-56-writings-in-honour-of-tibor-fischers-birthdays/</v>
      </c>
    </row>
    <row r="582" spans="1:6" x14ac:dyDescent="0.25">
      <c r="A582" t="s">
        <v>1674</v>
      </c>
      <c r="B582" t="s">
        <v>1675</v>
      </c>
      <c r="C582" t="s">
        <v>1676</v>
      </c>
      <c r="D582">
        <v>2015</v>
      </c>
      <c r="E582" t="s">
        <v>1633</v>
      </c>
      <c r="F582" t="str">
        <f>HYPERLINK("https://www.szaktars.hu/harmattan/view/inspirationen-ii/", "https://www.szaktars.hu/harmattan/view/inspirationen-ii/")</f>
        <v>https://www.szaktars.hu/harmattan/view/inspirationen-ii/</v>
      </c>
    </row>
    <row r="583" spans="1:6" x14ac:dyDescent="0.25">
      <c r="A583" t="s">
        <v>1677</v>
      </c>
      <c r="B583" t="s">
        <v>1678</v>
      </c>
      <c r="C583" t="s">
        <v>1679</v>
      </c>
      <c r="D583">
        <v>2008</v>
      </c>
      <c r="E583" t="s">
        <v>1633</v>
      </c>
      <c r="F583" t="str">
        <f>HYPERLINK("https://www.szaktars.hu/harmattan/view/forradalom-es-retorika-tanulmanyok-az-angol-romantikarol/", "https://www.szaktars.hu/harmattan/view/forradalom-es-retorika-tanulmanyok-az-angol-romantikarol/")</f>
        <v>https://www.szaktars.hu/harmattan/view/forradalom-es-retorika-tanulmanyok-az-angol-romantikarol/</v>
      </c>
    </row>
    <row r="584" spans="1:6" x14ac:dyDescent="0.25">
      <c r="A584" t="s">
        <v>1680</v>
      </c>
      <c r="B584" t="s">
        <v>1681</v>
      </c>
      <c r="C584" t="s">
        <v>1682</v>
      </c>
      <c r="D584">
        <v>2011</v>
      </c>
      <c r="E584" t="s">
        <v>1633</v>
      </c>
      <c r="F584" t="str">
        <f>HYPERLINK("https://www.szaktars.hu/harmattan/view/confrontations-and-interactions-essays-on-cultural-memory/", "https://www.szaktars.hu/harmattan/view/confrontations-and-interactions-essays-on-cultural-memory/")</f>
        <v>https://www.szaktars.hu/harmattan/view/confrontations-and-interactions-essays-on-cultural-memory/</v>
      </c>
    </row>
    <row r="585" spans="1:6" x14ac:dyDescent="0.25">
      <c r="A585" t="s">
        <v>1683</v>
      </c>
      <c r="B585" t="s">
        <v>1684</v>
      </c>
      <c r="C585" t="s">
        <v>1685</v>
      </c>
      <c r="D585">
        <v>2012</v>
      </c>
      <c r="E585" t="s">
        <v>1633</v>
      </c>
      <c r="F585" t="str">
        <f>HYPERLINK("https://www.szaktars.hu/harmattan/view/foldonjaro-romantikusok-a-xix-szazad-elejenek-brit-esszeirodalmarol/", "https://www.szaktars.hu/harmattan/view/foldonjaro-romantikusok-a-xix-szazad-elejenek-brit-esszeirodalmarol/")</f>
        <v>https://www.szaktars.hu/harmattan/view/foldonjaro-romantikusok-a-xix-szazad-elejenek-brit-esszeirodalmarol/</v>
      </c>
    </row>
    <row r="586" spans="1:6" x14ac:dyDescent="0.25">
      <c r="A586" t="s">
        <v>1686</v>
      </c>
      <c r="B586" t="s">
        <v>1687</v>
      </c>
      <c r="C586" t="s">
        <v>1688</v>
      </c>
      <c r="D586">
        <v>2015</v>
      </c>
      <c r="E586" t="s">
        <v>1633</v>
      </c>
      <c r="F586" t="str">
        <f>HYPERLINK("https://www.szaktars.hu/harmattan/view/shakespeare-olvasokonyv-tukorkepunk-37-darabban/", "https://www.szaktars.hu/harmattan/view/shakespeare-olvasokonyv-tukorkepunk-37-darabban/")</f>
        <v>https://www.szaktars.hu/harmattan/view/shakespeare-olvasokonyv-tukorkepunk-37-darabban/</v>
      </c>
    </row>
    <row r="587" spans="1:6" x14ac:dyDescent="0.25">
      <c r="A587" t="s">
        <v>1689</v>
      </c>
      <c r="B587" t="s">
        <v>1690</v>
      </c>
      <c r="C587" t="s">
        <v>1691</v>
      </c>
      <c r="D587">
        <v>2011</v>
      </c>
      <c r="E587" t="s">
        <v>1633</v>
      </c>
      <c r="F587" t="str">
        <f>HYPERLINK("https://www.szaktars.hu/harmattan/view/elbeszeles-a-19-es-20-szazad-fordulojan-narrativ-parbeszedek/", "https://www.szaktars.hu/harmattan/view/elbeszeles-a-19-es-20-szazad-fordulojan-narrativ-parbeszedek/")</f>
        <v>https://www.szaktars.hu/harmattan/view/elbeszeles-a-19-es-20-szazad-fordulojan-narrativ-parbeszedek/</v>
      </c>
    </row>
    <row r="588" spans="1:6" x14ac:dyDescent="0.25">
      <c r="A588" t="s">
        <v>1692</v>
      </c>
      <c r="B588" t="s">
        <v>1693</v>
      </c>
      <c r="C588" t="s">
        <v>1694</v>
      </c>
      <c r="D588">
        <v>2013</v>
      </c>
      <c r="E588" t="s">
        <v>1633</v>
      </c>
      <c r="F588" t="str">
        <f>HYPERLINK("https://www.szaktars.hu/harmattan/view/jokai-jokai-tanulmanyok/", "https://www.szaktars.hu/harmattan/view/jokai-jokai-tanulmanyok/")</f>
        <v>https://www.szaktars.hu/harmattan/view/jokai-jokai-tanulmanyok/</v>
      </c>
    </row>
    <row r="589" spans="1:6" x14ac:dyDescent="0.25">
      <c r="A589" t="s">
        <v>1695</v>
      </c>
      <c r="B589" t="s">
        <v>1696</v>
      </c>
      <c r="C589" t="s">
        <v>1697</v>
      </c>
      <c r="D589">
        <v>2008</v>
      </c>
      <c r="E589" t="s">
        <v>1633</v>
      </c>
      <c r="F589" t="str">
        <f>HYPERLINK("https://www.szaktars.hu/harmattan/view/dosztojevszkij-szentjei-a-pozitiv-szepsegu-hosok-ortodox-egyhazi-eredete/", "https://www.szaktars.hu/harmattan/view/dosztojevszkij-szentjei-a-pozitiv-szepsegu-hosok-ortodox-egyhazi-eredete/")</f>
        <v>https://www.szaktars.hu/harmattan/view/dosztojevszkij-szentjei-a-pozitiv-szepsegu-hosok-ortodox-egyhazi-eredete/</v>
      </c>
    </row>
    <row r="590" spans="1:6" x14ac:dyDescent="0.25">
      <c r="A590" t="s">
        <v>1698</v>
      </c>
      <c r="B590" t="s">
        <v>788</v>
      </c>
      <c r="C590" t="s">
        <v>1699</v>
      </c>
      <c r="D590">
        <v>2012</v>
      </c>
      <c r="E590" t="s">
        <v>1633</v>
      </c>
      <c r="F590" t="str">
        <f>HYPERLINK("https://www.szaktars.hu/harmattan/view/varazsszertar-varazsmesei-kanonok-a-regisegben-es-a-romantikaban/", "https://www.szaktars.hu/harmattan/view/varazsszertar-varazsmesei-kanonok-a-regisegben-es-a-romantikaban/")</f>
        <v>https://www.szaktars.hu/harmattan/view/varazsszertar-varazsmesei-kanonok-a-regisegben-es-a-romantikaban/</v>
      </c>
    </row>
    <row r="591" spans="1:6" x14ac:dyDescent="0.25">
      <c r="A591" t="s">
        <v>1700</v>
      </c>
      <c r="B591" t="s">
        <v>1701</v>
      </c>
      <c r="C591" t="s">
        <v>1702</v>
      </c>
      <c r="D591">
        <v>2016</v>
      </c>
      <c r="E591" t="s">
        <v>1633</v>
      </c>
      <c r="F591" t="str">
        <f>HYPERLINK("https://www.szaktars.hu/harmattan/view/parhuzamok-tortenetek-tanulmanyok-a-kortars-kozep-europai-regenyrol/", "https://www.szaktars.hu/harmattan/view/parhuzamok-tortenetek-tanulmanyok-a-kortars-kozep-europai-regenyrol/")</f>
        <v>https://www.szaktars.hu/harmattan/view/parhuzamok-tortenetek-tanulmanyok-a-kortars-kozep-europai-regenyrol/</v>
      </c>
    </row>
    <row r="592" spans="1:6" x14ac:dyDescent="0.25">
      <c r="A592" t="s">
        <v>1703</v>
      </c>
      <c r="B592" t="s">
        <v>1704</v>
      </c>
      <c r="C592" t="s">
        <v>1705</v>
      </c>
      <c r="D592">
        <v>2003</v>
      </c>
      <c r="E592" t="s">
        <v>1633</v>
      </c>
      <c r="F592" t="str">
        <f>HYPERLINK("https://www.szaktars.hu/harmattan/view/alomfejtes-julio-cortazar-novellainak-szimbolumelemzese/", "https://www.szaktars.hu/harmattan/view/alomfejtes-julio-cortazar-novellainak-szimbolumelemzese/")</f>
        <v>https://www.szaktars.hu/harmattan/view/alomfejtes-julio-cortazar-novellainak-szimbolumelemzese/</v>
      </c>
    </row>
    <row r="593" spans="1:6" x14ac:dyDescent="0.25">
      <c r="A593" t="s">
        <v>1706</v>
      </c>
      <c r="B593" t="s">
        <v>1707</v>
      </c>
      <c r="C593" t="s">
        <v>1708</v>
      </c>
      <c r="D593">
        <v>2015</v>
      </c>
      <c r="E593" t="s">
        <v>1633</v>
      </c>
      <c r="F593" t="str">
        <f>HYPERLINK("https://www.szaktars.hu/harmattan/view/english-language-literatures-in-english-2014/", "https://www.szaktars.hu/harmattan/view/english-language-literatures-in-english-2014/")</f>
        <v>https://www.szaktars.hu/harmattan/view/english-language-literatures-in-english-2014/</v>
      </c>
    </row>
    <row r="594" spans="1:6" x14ac:dyDescent="0.25">
      <c r="A594" t="s">
        <v>1709</v>
      </c>
      <c r="B594" t="s">
        <v>1710</v>
      </c>
      <c r="C594" t="s">
        <v>1711</v>
      </c>
      <c r="D594">
        <v>2016</v>
      </c>
      <c r="E594" t="s">
        <v>1633</v>
      </c>
      <c r="F594" t="str">
        <f>HYPERLINK("https://www.szaktars.hu/harmattan/view/the-arts-of-attention/", "https://www.szaktars.hu/harmattan/view/the-arts-of-attention/")</f>
        <v>https://www.szaktars.hu/harmattan/view/the-arts-of-attention/</v>
      </c>
    </row>
    <row r="595" spans="1:6" x14ac:dyDescent="0.25">
      <c r="A595" t="s">
        <v>1712</v>
      </c>
      <c r="B595" t="s">
        <v>1713</v>
      </c>
      <c r="C595" t="s">
        <v>1714</v>
      </c>
      <c r="D595">
        <v>2016</v>
      </c>
      <c r="E595" t="s">
        <v>1633</v>
      </c>
      <c r="F595" t="str">
        <f>HYPERLINK("https://www.szaktars.hu/harmattan/view/the-art-of-memory-in-late-medieval-central-europe-czech-lands-hungary-poland/", "https://www.szaktars.hu/harmattan/view/the-art-of-memory-in-late-medieval-central-europe-czech-lands-hungary-poland/")</f>
        <v>https://www.szaktars.hu/harmattan/view/the-art-of-memory-in-late-medieval-central-europe-czech-lands-hungary-poland/</v>
      </c>
    </row>
    <row r="596" spans="1:6" x14ac:dyDescent="0.25">
      <c r="A596" t="s">
        <v>1715</v>
      </c>
      <c r="B596" t="s">
        <v>1713</v>
      </c>
      <c r="C596" t="s">
        <v>1716</v>
      </c>
      <c r="D596">
        <v>2012</v>
      </c>
      <c r="E596" t="s">
        <v>1633</v>
      </c>
      <c r="F596" t="str">
        <f>HYPERLINK("https://www.szaktars.hu/harmattan/view/imaginacio-es-imitacio-zrinyi-eposzaban/", "https://www.szaktars.hu/harmattan/view/imaginacio-es-imitacio-zrinyi-eposzaban/")</f>
        <v>https://www.szaktars.hu/harmattan/view/imaginacio-es-imitacio-zrinyi-eposzaban/</v>
      </c>
    </row>
    <row r="597" spans="1:6" x14ac:dyDescent="0.25">
      <c r="A597" t="s">
        <v>1717</v>
      </c>
      <c r="B597" t="s">
        <v>1718</v>
      </c>
      <c r="C597" t="s">
        <v>1719</v>
      </c>
      <c r="D597">
        <v>2014</v>
      </c>
      <c r="E597" t="s">
        <v>1633</v>
      </c>
      <c r="F597" t="str">
        <f>HYPERLINK("https://www.szaktars.hu/harmattan/view/velemenyformalok-hirnev-es-tekintely-az-ertelmisegi-elitben/", "https://www.szaktars.hu/harmattan/view/velemenyformalok-hirnev-es-tekintely-az-ertelmisegi-elitben/")</f>
        <v>https://www.szaktars.hu/harmattan/view/velemenyformalok-hirnev-es-tekintely-az-ertelmisegi-elitben/</v>
      </c>
    </row>
    <row r="598" spans="1:6" x14ac:dyDescent="0.25">
      <c r="A598" t="s">
        <v>1720</v>
      </c>
      <c r="B598" t="s">
        <v>1721</v>
      </c>
      <c r="C598" t="s">
        <v>1722</v>
      </c>
      <c r="D598">
        <v>2010</v>
      </c>
      <c r="E598" t="s">
        <v>1633</v>
      </c>
      <c r="F598" t="str">
        <f>HYPERLINK("https://www.szaktars.hu/harmattan/view/utopiak-es-ellenutopiak/", "https://www.szaktars.hu/harmattan/view/utopiak-es-ellenutopiak/")</f>
        <v>https://www.szaktars.hu/harmattan/view/utopiak-es-ellenutopiak/</v>
      </c>
    </row>
    <row r="599" spans="1:6" x14ac:dyDescent="0.25">
      <c r="A599" t="s">
        <v>1723</v>
      </c>
      <c r="B599" t="s">
        <v>1724</v>
      </c>
      <c r="C599" t="s">
        <v>1725</v>
      </c>
      <c r="D599">
        <v>2008</v>
      </c>
      <c r="E599" t="s">
        <v>1633</v>
      </c>
      <c r="F599" t="str">
        <f>HYPERLINK("https://www.szaktars.hu/harmattan/view/russian-text-19th-century-and-antiquity-ruszkij-tyekszt-19-vek-i-anticsnoszty/", "https://www.szaktars.hu/harmattan/view/russian-text-19th-century-and-antiquity-ruszkij-tyekszt-19-vek-i-anticsnoszty/")</f>
        <v>https://www.szaktars.hu/harmattan/view/russian-text-19th-century-and-antiquity-ruszkij-tyekszt-19-vek-i-anticsnoszty/</v>
      </c>
    </row>
    <row r="600" spans="1:6" x14ac:dyDescent="0.25">
      <c r="A600" t="s">
        <v>1726</v>
      </c>
      <c r="B600" t="s">
        <v>1727</v>
      </c>
      <c r="C600" t="s">
        <v>1728</v>
      </c>
      <c r="D600">
        <v>2012</v>
      </c>
      <c r="E600" t="s">
        <v>1633</v>
      </c>
      <c r="F600" t="str">
        <f>HYPERLINK("https://www.szaktars.hu/harmattan/view/irodalmi-szovegfolytonossag-a-kozvetito-alakzatok-poetikaja-dosztojevszkij-alkotasaiban/", "https://www.szaktars.hu/harmattan/view/irodalmi-szovegfolytonossag-a-kozvetito-alakzatok-poetikaja-dosztojevszkij-alkotasaiban/")</f>
        <v>https://www.szaktars.hu/harmattan/view/irodalmi-szovegfolytonossag-a-kozvetito-alakzatok-poetikaja-dosztojevszkij-alkotasaiban/</v>
      </c>
    </row>
    <row r="601" spans="1:6" x14ac:dyDescent="0.25">
      <c r="A601" t="s">
        <v>1729</v>
      </c>
      <c r="B601" t="s">
        <v>1730</v>
      </c>
      <c r="C601" t="s">
        <v>1731</v>
      </c>
      <c r="D601">
        <v>2008</v>
      </c>
      <c r="E601" t="s">
        <v>1633</v>
      </c>
      <c r="F601" t="str">
        <f>HYPERLINK("https://www.szaktars.hu/harmattan/view/a-magyar-episztola-a-felvilagosodas-koraban-mufaj-es-mediatorteneti-ertelmezes/", "https://www.szaktars.hu/harmattan/view/a-magyar-episztola-a-felvilagosodas-koraban-mufaj-es-mediatorteneti-ertelmezes/")</f>
        <v>https://www.szaktars.hu/harmattan/view/a-magyar-episztola-a-felvilagosodas-koraban-mufaj-es-mediatorteneti-ertelmezes/</v>
      </c>
    </row>
    <row r="602" spans="1:6" x14ac:dyDescent="0.25">
      <c r="A602" t="s">
        <v>1732</v>
      </c>
      <c r="B602" t="s">
        <v>1733</v>
      </c>
      <c r="C602" t="s">
        <v>1734</v>
      </c>
      <c r="D602">
        <v>2009</v>
      </c>
      <c r="E602" t="s">
        <v>1633</v>
      </c>
      <c r="F602" t="str">
        <f>HYPERLINK("https://www.szaktars.hu/harmattan/view/erovonalak-kozelitesek-terey-janoshoz/", "https://www.szaktars.hu/harmattan/view/erovonalak-kozelitesek-terey-janoshoz/")</f>
        <v>https://www.szaktars.hu/harmattan/view/erovonalak-kozelitesek-terey-janoshoz/</v>
      </c>
    </row>
    <row r="603" spans="1:6" x14ac:dyDescent="0.25">
      <c r="A603" t="s">
        <v>1735</v>
      </c>
      <c r="B603" t="s">
        <v>1736</v>
      </c>
      <c r="C603" t="s">
        <v>1737</v>
      </c>
      <c r="D603">
        <v>2003</v>
      </c>
      <c r="E603" t="s">
        <v>1633</v>
      </c>
      <c r="F603" t="str">
        <f>HYPERLINK("https://www.szaktars.hu/harmattan/view/oneletiras-elettortenet-naplo-valogatott-tanulmanyok/", "https://www.szaktars.hu/harmattan/view/oneletiras-elettortenet-naplo-valogatott-tanulmanyok/")</f>
        <v>https://www.szaktars.hu/harmattan/view/oneletiras-elettortenet-naplo-valogatott-tanulmanyok/</v>
      </c>
    </row>
    <row r="604" spans="1:6" x14ac:dyDescent="0.25">
      <c r="A604" t="s">
        <v>1738</v>
      </c>
      <c r="B604" t="s">
        <v>1739</v>
      </c>
      <c r="C604" t="s">
        <v>1740</v>
      </c>
      <c r="D604">
        <v>2016</v>
      </c>
      <c r="E604" t="s">
        <v>1633</v>
      </c>
      <c r="F604" t="str">
        <f>HYPERLINK("https://www.szaktars.hu/harmattan/view/elforditott-latohatar-a-poetikai-ter-nemes-nagy-agnes-kolteszeteben/", "https://www.szaktars.hu/harmattan/view/elforditott-latohatar-a-poetikai-ter-nemes-nagy-agnes-kolteszeteben/")</f>
        <v>https://www.szaktars.hu/harmattan/view/elforditott-latohatar-a-poetikai-ter-nemes-nagy-agnes-kolteszeteben/</v>
      </c>
    </row>
    <row r="605" spans="1:6" x14ac:dyDescent="0.25">
      <c r="A605" t="s">
        <v>1741</v>
      </c>
      <c r="B605" t="s">
        <v>1742</v>
      </c>
      <c r="C605" t="s">
        <v>1743</v>
      </c>
      <c r="D605">
        <v>2016</v>
      </c>
      <c r="E605" t="s">
        <v>1633</v>
      </c>
      <c r="F605" t="str">
        <f>HYPERLINK("https://www.szaktars.hu/harmattan/view/kep-kepzelet-fantasztikum-a-fantazia-mesterei-a-xix-xx-szazadi-olasz-irodalomban-colloditol-calvinoig-tanulmanyok-muelemzesek/", "https://www.szaktars.hu/harmattan/view/kep-kepzelet-fantasztikum-a-fantazia-mesterei-a-xix-xx-szazadi-olasz-irodalomban-colloditol-calvinoig-tanulmanyok-muelemzesek/")</f>
        <v>https://www.szaktars.hu/harmattan/view/kep-kepzelet-fantasztikum-a-fantazia-mesterei-a-xix-xx-szazadi-olasz-irodalomban-colloditol-calvinoig-tanulmanyok-muelemzesek/</v>
      </c>
    </row>
    <row r="606" spans="1:6" x14ac:dyDescent="0.25">
      <c r="A606" t="s">
        <v>1744</v>
      </c>
      <c r="B606" t="s">
        <v>1745</v>
      </c>
      <c r="C606" t="s">
        <v>1746</v>
      </c>
      <c r="D606">
        <v>2009</v>
      </c>
      <c r="E606" t="s">
        <v>1633</v>
      </c>
      <c r="F606" t="str">
        <f>HYPERLINK("https://www.szaktars.hu/harmattan/view/a-konyv-csabitasa-tanulmanyok-esszek-kritikak/", "https://www.szaktars.hu/harmattan/view/a-konyv-csabitasa-tanulmanyok-esszek-kritikak/")</f>
        <v>https://www.szaktars.hu/harmattan/view/a-konyv-csabitasa-tanulmanyok-esszek-kritikak/</v>
      </c>
    </row>
    <row r="607" spans="1:6" x14ac:dyDescent="0.25">
      <c r="A607" t="s">
        <v>1747</v>
      </c>
      <c r="B607" t="s">
        <v>1748</v>
      </c>
      <c r="C607" t="s">
        <v>1749</v>
      </c>
      <c r="D607">
        <v>2011</v>
      </c>
      <c r="E607" t="s">
        <v>1633</v>
      </c>
      <c r="F607" t="str">
        <f>HYPERLINK("https://www.szaktars.hu/harmattan/view/az-arnyjatekos-soren-kierkegaard-irodalomtortenet-eszmetortenet-es-hatastortenet-metszespontjain/", "https://www.szaktars.hu/harmattan/view/az-arnyjatekos-soren-kierkegaard-irodalomtortenet-eszmetortenet-es-hatastortenet-metszespontjain/")</f>
        <v>https://www.szaktars.hu/harmattan/view/az-arnyjatekos-soren-kierkegaard-irodalomtortenet-eszmetortenet-es-hatastortenet-metszespontjain/</v>
      </c>
    </row>
    <row r="608" spans="1:6" x14ac:dyDescent="0.25">
      <c r="A608" t="s">
        <v>1750</v>
      </c>
      <c r="B608" t="s">
        <v>1751</v>
      </c>
      <c r="C608" t="s">
        <v>1752</v>
      </c>
      <c r="D608">
        <v>2013</v>
      </c>
      <c r="E608" t="s">
        <v>1633</v>
      </c>
      <c r="F608" t="str">
        <f>HYPERLINK("https://www.szaktars.hu/harmattan/view/kiralylanyok-tunderek-boszorkanyok-a-no-harom-arca-a-meseben/", "https://www.szaktars.hu/harmattan/view/kiralylanyok-tunderek-boszorkanyok-a-no-harom-arca-a-meseben/")</f>
        <v>https://www.szaktars.hu/harmattan/view/kiralylanyok-tunderek-boszorkanyok-a-no-harom-arca-a-meseben/</v>
      </c>
    </row>
    <row r="609" spans="1:6" x14ac:dyDescent="0.25">
      <c r="A609" t="s">
        <v>1753</v>
      </c>
      <c r="B609" t="s">
        <v>1754</v>
      </c>
      <c r="C609" t="s">
        <v>1755</v>
      </c>
      <c r="D609">
        <v>2014</v>
      </c>
      <c r="E609" t="s">
        <v>1633</v>
      </c>
      <c r="F609" t="str">
        <f>HYPERLINK("https://www.szaktars.hu/harmattan/view/northrop-frye-100-a-danubian-perspective-northrop-frye-100-dunai-tavlatbol/", "https://www.szaktars.hu/harmattan/view/northrop-frye-100-a-danubian-perspective-northrop-frye-100-dunai-tavlatbol/")</f>
        <v>https://www.szaktars.hu/harmattan/view/northrop-frye-100-a-danubian-perspective-northrop-frye-100-dunai-tavlatbol/</v>
      </c>
    </row>
    <row r="610" spans="1:6" x14ac:dyDescent="0.25">
      <c r="A610" t="s">
        <v>1756</v>
      </c>
      <c r="B610" t="s">
        <v>1757</v>
      </c>
      <c r="C610" t="s">
        <v>1758</v>
      </c>
      <c r="D610">
        <v>2010</v>
      </c>
      <c r="E610" t="s">
        <v>1633</v>
      </c>
      <c r="F610" t="str">
        <f>HYPERLINK("https://www.szaktars.hu/harmattan/view/keats-vilaga/", "https://www.szaktars.hu/harmattan/view/keats-vilaga/")</f>
        <v>https://www.szaktars.hu/harmattan/view/keats-vilaga/</v>
      </c>
    </row>
    <row r="611" spans="1:6" x14ac:dyDescent="0.25">
      <c r="A611" t="s">
        <v>1759</v>
      </c>
      <c r="B611" t="s">
        <v>1760</v>
      </c>
      <c r="C611" t="s">
        <v>1761</v>
      </c>
      <c r="D611">
        <v>2011</v>
      </c>
      <c r="E611" t="s">
        <v>1633</v>
      </c>
      <c r="F611" t="str">
        <f>HYPERLINK("https://www.szaktars.hu/harmattan/view/szabo-dezso-es-feja-geza-trianon-reflexioja-es-kulpolitikai-nezetei/", "https://www.szaktars.hu/harmattan/view/szabo-dezso-es-feja-geza-trianon-reflexioja-es-kulpolitikai-nezetei/")</f>
        <v>https://www.szaktars.hu/harmattan/view/szabo-dezso-es-feja-geza-trianon-reflexioja-es-kulpolitikai-nezetei/</v>
      </c>
    </row>
    <row r="612" spans="1:6" x14ac:dyDescent="0.25">
      <c r="A612" t="s">
        <v>1762</v>
      </c>
      <c r="B612" t="s">
        <v>1763</v>
      </c>
      <c r="C612" t="s">
        <v>1764</v>
      </c>
      <c r="D612">
        <v>2011</v>
      </c>
      <c r="E612" t="s">
        <v>1633</v>
      </c>
      <c r="F612" t="str">
        <f>HYPERLINK("https://www.szaktars.hu/harmattan/view/a-zsoltar-a-regi-magyar-irodalomban/", "https://www.szaktars.hu/harmattan/view/a-zsoltar-a-regi-magyar-irodalomban/")</f>
        <v>https://www.szaktars.hu/harmattan/view/a-zsoltar-a-regi-magyar-irodalomban/</v>
      </c>
    </row>
    <row r="613" spans="1:6" x14ac:dyDescent="0.25">
      <c r="A613" t="s">
        <v>1765</v>
      </c>
      <c r="B613" t="s">
        <v>1766</v>
      </c>
      <c r="C613" t="s">
        <v>1767</v>
      </c>
      <c r="D613">
        <v>2010</v>
      </c>
      <c r="E613" t="s">
        <v>1633</v>
      </c>
      <c r="F613" t="str">
        <f>HYPERLINK("https://www.szaktars.hu/harmattan/view/spiromanyok-kritikak-es-tanulmanyok-spiro-gyorgyrol/", "https://www.szaktars.hu/harmattan/view/spiromanyok-kritikak-es-tanulmanyok-spiro-gyorgyrol/")</f>
        <v>https://www.szaktars.hu/harmattan/view/spiromanyok-kritikak-es-tanulmanyok-spiro-gyorgyrol/</v>
      </c>
    </row>
    <row r="614" spans="1:6" x14ac:dyDescent="0.25">
      <c r="A614" t="s">
        <v>1768</v>
      </c>
      <c r="B614" t="s">
        <v>1769</v>
      </c>
      <c r="C614" t="s">
        <v>1770</v>
      </c>
      <c r="D614">
        <v>2006</v>
      </c>
      <c r="E614" t="s">
        <v>1633</v>
      </c>
      <c r="F614" t="str">
        <f>HYPERLINK("https://www.szaktars.hu/harmattan/view/a-varazsmese-torteneti-gyokerei/", "https://www.szaktars.hu/harmattan/view/a-varazsmese-torteneti-gyokerei/")</f>
        <v>https://www.szaktars.hu/harmattan/view/a-varazsmese-torteneti-gyokerei/</v>
      </c>
    </row>
    <row r="615" spans="1:6" x14ac:dyDescent="0.25">
      <c r="A615" t="s">
        <v>1771</v>
      </c>
      <c r="B615" t="s">
        <v>1772</v>
      </c>
      <c r="C615" t="s">
        <v>1773</v>
      </c>
      <c r="D615">
        <v>2016</v>
      </c>
      <c r="E615" t="s">
        <v>1633</v>
      </c>
      <c r="F615" t="str">
        <f>HYPERLINK("https://www.szaktars.hu/harmattan/view/filozofia-lelektan-es-metafizika-babits-irodalomelmeleteben/", "https://www.szaktars.hu/harmattan/view/filozofia-lelektan-es-metafizika-babits-irodalomelmeleteben/")</f>
        <v>https://www.szaktars.hu/harmattan/view/filozofia-lelektan-es-metafizika-babits-irodalomelmeleteben/</v>
      </c>
    </row>
    <row r="616" spans="1:6" x14ac:dyDescent="0.25">
      <c r="A616" t="s">
        <v>1774</v>
      </c>
      <c r="B616" t="s">
        <v>1775</v>
      </c>
      <c r="C616" t="s">
        <v>1776</v>
      </c>
      <c r="D616">
        <v>2007</v>
      </c>
      <c r="E616" t="s">
        <v>1633</v>
      </c>
      <c r="F616" t="str">
        <f>HYPERLINK("https://www.szaktars.hu/harmattan/view/a-kemikus-a-pszichiater-a-jogasz-es-az-irodalomtortenet-jozsef-attila-ertelmezesek/", "https://www.szaktars.hu/harmattan/view/a-kemikus-a-pszichiater-a-jogasz-es-az-irodalomtortenet-jozsef-attila-ertelmezesek/")</f>
        <v>https://www.szaktars.hu/harmattan/view/a-kemikus-a-pszichiater-a-jogasz-es-az-irodalomtortenet-jozsef-attila-ertelmezesek/</v>
      </c>
    </row>
    <row r="617" spans="1:6" x14ac:dyDescent="0.25">
      <c r="A617" t="s">
        <v>1777</v>
      </c>
      <c r="B617" t="s">
        <v>1778</v>
      </c>
      <c r="C617" t="s">
        <v>1779</v>
      </c>
      <c r="D617">
        <v>2002</v>
      </c>
      <c r="E617" t="s">
        <v>1633</v>
      </c>
      <c r="F617" t="str">
        <f>HYPERLINK("https://www.szaktars.hu/harmattan/view/az-ertelmezes-szuksegessege-tanulmanyok-kertesz-imrerol/", "https://www.szaktars.hu/harmattan/view/az-ertelmezes-szuksegessege-tanulmanyok-kertesz-imrerol/")</f>
        <v>https://www.szaktars.hu/harmattan/view/az-ertelmezes-szuksegessege-tanulmanyok-kertesz-imrerol/</v>
      </c>
    </row>
    <row r="618" spans="1:6" x14ac:dyDescent="0.25">
      <c r="A618" t="s">
        <v>1780</v>
      </c>
      <c r="B618" t="s">
        <v>1781</v>
      </c>
      <c r="C618" t="s">
        <v>1782</v>
      </c>
      <c r="D618">
        <v>2005</v>
      </c>
      <c r="E618" t="s">
        <v>1633</v>
      </c>
      <c r="F618" t="str">
        <f>HYPERLINK("https://www.szaktars.hu/harmattan/view/tapasztalatcsere-esszek-es-tanulmanyok-bodor-adamrol/", "https://www.szaktars.hu/harmattan/view/tapasztalatcsere-esszek-es-tanulmanyok-bodor-adamrol/")</f>
        <v>https://www.szaktars.hu/harmattan/view/tapasztalatcsere-esszek-es-tanulmanyok-bodor-adamrol/</v>
      </c>
    </row>
    <row r="619" spans="1:6" x14ac:dyDescent="0.25">
      <c r="A619" t="s">
        <v>1783</v>
      </c>
      <c r="B619" t="s">
        <v>1784</v>
      </c>
      <c r="C619" t="s">
        <v>1785</v>
      </c>
      <c r="D619">
        <v>2016</v>
      </c>
      <c r="E619" t="s">
        <v>1633</v>
      </c>
      <c r="F619" t="str">
        <f>HYPERLINK("https://www.szaktars.hu/harmattan/view/kolteszet-es-szakralitas/", "https://www.szaktars.hu/harmattan/view/kolteszet-es-szakralitas/")</f>
        <v>https://www.szaktars.hu/harmattan/view/kolteszet-es-szakralitas/</v>
      </c>
    </row>
    <row r="620" spans="1:6" x14ac:dyDescent="0.25">
      <c r="A620" t="s">
        <v>1786</v>
      </c>
      <c r="B620" t="s">
        <v>236</v>
      </c>
      <c r="C620" t="s">
        <v>1787</v>
      </c>
      <c r="D620">
        <v>2010</v>
      </c>
      <c r="E620" t="s">
        <v>1633</v>
      </c>
      <c r="F620" t="str">
        <f>HYPERLINK("https://www.szaktars.hu/harmattan/view/canudos-osvenyein-marai-sandorral-es-mario-vargas-llosaval-euclides-da-cunha-nyoman/", "https://www.szaktars.hu/harmattan/view/canudos-osvenyein-marai-sandorral-es-mario-vargas-llosaval-euclides-da-cunha-nyoman/")</f>
        <v>https://www.szaktars.hu/harmattan/view/canudos-osvenyein-marai-sandorral-es-mario-vargas-llosaval-euclides-da-cunha-nyoman/</v>
      </c>
    </row>
    <row r="621" spans="1:6" x14ac:dyDescent="0.25">
      <c r="A621" t="s">
        <v>1788</v>
      </c>
      <c r="B621" t="s">
        <v>1789</v>
      </c>
      <c r="C621" t="s">
        <v>1790</v>
      </c>
      <c r="D621">
        <v>2016</v>
      </c>
      <c r="E621" t="s">
        <v>1633</v>
      </c>
      <c r="F621" t="str">
        <f>HYPERLINK("https://www.szaktars.hu/harmattan/view/feluton-eg-es-fold-kozott-identitasalakzatok-a-masodik-vilaghaboru-utani-erdelyi-liraban/", "https://www.szaktars.hu/harmattan/view/feluton-eg-es-fold-kozott-identitasalakzatok-a-masodik-vilaghaboru-utani-erdelyi-liraban/")</f>
        <v>https://www.szaktars.hu/harmattan/view/feluton-eg-es-fold-kozott-identitasalakzatok-a-masodik-vilaghaboru-utani-erdelyi-liraban/</v>
      </c>
    </row>
    <row r="622" spans="1:6" x14ac:dyDescent="0.25">
      <c r="A622" t="s">
        <v>1791</v>
      </c>
      <c r="B622" t="s">
        <v>1792</v>
      </c>
      <c r="C622" t="s">
        <v>1793</v>
      </c>
      <c r="D622">
        <v>2004</v>
      </c>
      <c r="E622" t="s">
        <v>1633</v>
      </c>
      <c r="F622" t="str">
        <f>HYPERLINK("https://www.szaktars.hu/harmattan/view/nympholeptusok-test-kanon-nyelv-es-koltoiseg-problemai-a-18-19-szazadban/", "https://www.szaktars.hu/harmattan/view/nympholeptusok-test-kanon-nyelv-es-koltoiseg-problemai-a-18-19-szazadban/")</f>
        <v>https://www.szaktars.hu/harmattan/view/nympholeptusok-test-kanon-nyelv-es-koltoiseg-problemai-a-18-19-szazadban/</v>
      </c>
    </row>
    <row r="623" spans="1:6" x14ac:dyDescent="0.25">
      <c r="A623" t="s">
        <v>1794</v>
      </c>
      <c r="B623" t="s">
        <v>1795</v>
      </c>
      <c r="C623" t="s">
        <v>1796</v>
      </c>
      <c r="D623">
        <v>2007</v>
      </c>
      <c r="E623" t="s">
        <v>1633</v>
      </c>
      <c r="F623" t="str">
        <f>HYPERLINK("https://www.szaktars.hu/harmattan/view/mikszath-a-ketelkedo-modern-tortenelmi-es-tarsadalmi-reprezentaciok-mikszath-kalman-prozapoetikajaban/", "https://www.szaktars.hu/harmattan/view/mikszath-a-ketelkedo-modern-tortenelmi-es-tarsadalmi-reprezentaciok-mikszath-kalman-prozapoetikajaban/")</f>
        <v>https://www.szaktars.hu/harmattan/view/mikszath-a-ketelkedo-modern-tortenelmi-es-tarsadalmi-reprezentaciok-mikszath-kalman-prozapoetikajaban/</v>
      </c>
    </row>
    <row r="624" spans="1:6" x14ac:dyDescent="0.25">
      <c r="A624" t="s">
        <v>1797</v>
      </c>
      <c r="B624" t="s">
        <v>1798</v>
      </c>
      <c r="C624" t="s">
        <v>1799</v>
      </c>
      <c r="D624">
        <v>2013</v>
      </c>
      <c r="E624" t="s">
        <v>1633</v>
      </c>
      <c r="F624" t="str">
        <f>HYPERLINK("https://www.szaktars.hu/harmattan/view/a-herosz-es-a-kultusz-the-hero-and-his-cult-james-joyce/", "https://www.szaktars.hu/harmattan/view/a-herosz-es-a-kultusz-the-hero-and-his-cult-james-joyce/")</f>
        <v>https://www.szaktars.hu/harmattan/view/a-herosz-es-a-kultusz-the-hero-and-his-cult-james-joyce/</v>
      </c>
    </row>
    <row r="625" spans="1:6" x14ac:dyDescent="0.25">
      <c r="A625" t="s">
        <v>1800</v>
      </c>
      <c r="B625" t="s">
        <v>1801</v>
      </c>
      <c r="C625" t="s">
        <v>1802</v>
      </c>
      <c r="D625">
        <v>2012</v>
      </c>
      <c r="E625" t="s">
        <v>1633</v>
      </c>
      <c r="F625" t="str">
        <f>HYPERLINK("https://www.szaktars.hu/harmattan/view/a-kepzelet-masik-oldala-irodalom-es-vallas-northrop-frye-eletmuveben/", "https://www.szaktars.hu/harmattan/view/a-kepzelet-masik-oldala-irodalom-es-vallas-northrop-frye-eletmuveben/")</f>
        <v>https://www.szaktars.hu/harmattan/view/a-kepzelet-masik-oldala-irodalom-es-vallas-northrop-frye-eletmuveben/</v>
      </c>
    </row>
    <row r="626" spans="1:6" x14ac:dyDescent="0.25">
      <c r="A626" t="s">
        <v>1803</v>
      </c>
      <c r="B626" t="s">
        <v>1804</v>
      </c>
      <c r="C626" t="s">
        <v>1805</v>
      </c>
      <c r="D626">
        <v>2011</v>
      </c>
      <c r="E626" t="s">
        <v>1633</v>
      </c>
      <c r="F626" t="str">
        <f>HYPERLINK("https://www.szaktars.hu/harmattan/view/goldoni-es-velence/", "https://www.szaktars.hu/harmattan/view/goldoni-es-velence/")</f>
        <v>https://www.szaktars.hu/harmattan/view/goldoni-es-velence/</v>
      </c>
    </row>
    <row r="627" spans="1:6" x14ac:dyDescent="0.25">
      <c r="A627" t="s">
        <v>1806</v>
      </c>
      <c r="B627" t="s">
        <v>1807</v>
      </c>
      <c r="C627" t="s">
        <v>1808</v>
      </c>
      <c r="D627">
        <v>2012</v>
      </c>
      <c r="E627" t="s">
        <v>1633</v>
      </c>
      <c r="F627" t="str">
        <f>HYPERLINK("https://www.szaktars.hu/harmattan/view/inspirationen-kunste-im-wechselspiel/", "https://www.szaktars.hu/harmattan/view/inspirationen-kunste-im-wechselspiel/")</f>
        <v>https://www.szaktars.hu/harmattan/view/inspirationen-kunste-im-wechselspiel/</v>
      </c>
    </row>
    <row r="628" spans="1:6" x14ac:dyDescent="0.25">
      <c r="A628" t="s">
        <v>1809</v>
      </c>
      <c r="B628" t="s">
        <v>1810</v>
      </c>
      <c r="C628" t="s">
        <v>1811</v>
      </c>
      <c r="D628">
        <v>2017</v>
      </c>
      <c r="E628" t="s">
        <v>1633</v>
      </c>
      <c r="F628" t="str">
        <f>HYPERLINK("https://www.szaktars.hu/harmattan/view/etikum-es-esztetikum-kapcsolata-illyes-gyula-eletmuveben/", "https://www.szaktars.hu/harmattan/view/etikum-es-esztetikum-kapcsolata-illyes-gyula-eletmuveben/")</f>
        <v>https://www.szaktars.hu/harmattan/view/etikum-es-esztetikum-kapcsolata-illyes-gyula-eletmuveben/</v>
      </c>
    </row>
    <row r="629" spans="1:6" x14ac:dyDescent="0.25">
      <c r="A629" t="s">
        <v>1812</v>
      </c>
      <c r="B629" t="s">
        <v>1113</v>
      </c>
      <c r="C629" t="s">
        <v>1813</v>
      </c>
      <c r="D629">
        <v>2011</v>
      </c>
      <c r="E629" t="s">
        <v>1633</v>
      </c>
      <c r="F629" t="str">
        <f>HYPERLINK("https://www.szaktars.hu/harmattan/view/rilke-ornamentika-es-halal/", "https://www.szaktars.hu/harmattan/view/rilke-ornamentika-es-halal/")</f>
        <v>https://www.szaktars.hu/harmattan/view/rilke-ornamentika-es-halal/</v>
      </c>
    </row>
    <row r="630" spans="1:6" x14ac:dyDescent="0.25">
      <c r="A630" t="s">
        <v>1814</v>
      </c>
      <c r="B630" t="s">
        <v>1815</v>
      </c>
      <c r="C630" t="s">
        <v>1816</v>
      </c>
      <c r="D630">
        <v>2010</v>
      </c>
      <c r="E630" t="s">
        <v>1817</v>
      </c>
      <c r="F630" t="str">
        <f>HYPERLINK("https://www.szaktars.hu/harmattan/view/antidiszkriminacios-es-eselyegyenlosegi-alapismeretek/", "https://www.szaktars.hu/harmattan/view/antidiszkriminacios-es-eselyegyenlosegi-alapismeretek/")</f>
        <v>https://www.szaktars.hu/harmattan/view/antidiszkriminacios-es-eselyegyenlosegi-alapismeretek/</v>
      </c>
    </row>
    <row r="631" spans="1:6" x14ac:dyDescent="0.25">
      <c r="A631" t="s">
        <v>1818</v>
      </c>
      <c r="B631" t="s">
        <v>1819</v>
      </c>
      <c r="C631" t="s">
        <v>1820</v>
      </c>
      <c r="D631">
        <v>2010</v>
      </c>
      <c r="E631" t="s">
        <v>1817</v>
      </c>
      <c r="F631" t="str">
        <f>HYPERLINK("https://www.szaktars.hu/harmattan/view/az-emberi-jogok-alapjai/", "https://www.szaktars.hu/harmattan/view/az-emberi-jogok-alapjai/")</f>
        <v>https://www.szaktars.hu/harmattan/view/az-emberi-jogok-alapjai/</v>
      </c>
    </row>
    <row r="632" spans="1:6" x14ac:dyDescent="0.25">
      <c r="A632" t="s">
        <v>1821</v>
      </c>
      <c r="B632" t="s">
        <v>1822</v>
      </c>
      <c r="C632" t="s">
        <v>1823</v>
      </c>
      <c r="D632">
        <v>2007</v>
      </c>
      <c r="E632" t="s">
        <v>1817</v>
      </c>
      <c r="F632" t="str">
        <f>HYPERLINK("https://www.szaktars.hu/harmattan/view/gazdasagi-jog/", "https://www.szaktars.hu/harmattan/view/gazdasagi-jog/")</f>
        <v>https://www.szaktars.hu/harmattan/view/gazdasagi-jog/</v>
      </c>
    </row>
    <row r="633" spans="1:6" x14ac:dyDescent="0.25">
      <c r="A633" t="s">
        <v>1824</v>
      </c>
      <c r="B633" t="s">
        <v>1825</v>
      </c>
      <c r="C633" t="s">
        <v>1826</v>
      </c>
      <c r="D633">
        <v>2012</v>
      </c>
      <c r="E633" t="s">
        <v>1817</v>
      </c>
      <c r="F633" t="str">
        <f>HYPERLINK("https://www.szaktars.hu/harmattan/view/az-egyhazi-jogi-szemely-a-regi-es-az-uj-egyhazugyi-torvenyben/", "https://www.szaktars.hu/harmattan/view/az-egyhazi-jogi-szemely-a-regi-es-az-uj-egyhazugyi-torvenyben/")</f>
        <v>https://www.szaktars.hu/harmattan/view/az-egyhazi-jogi-szemely-a-regi-es-az-uj-egyhazugyi-torvenyben/</v>
      </c>
    </row>
    <row r="634" spans="1:6" x14ac:dyDescent="0.25">
      <c r="A634" t="s">
        <v>1827</v>
      </c>
      <c r="B634" t="s">
        <v>1828</v>
      </c>
      <c r="C634" t="s">
        <v>1829</v>
      </c>
      <c r="D634">
        <v>2006</v>
      </c>
      <c r="E634" t="s">
        <v>1817</v>
      </c>
      <c r="F634" t="str">
        <f>HYPERLINK("https://www.szaktars.hu/harmattan/view/polgari-jog/", "https://www.szaktars.hu/harmattan/view/polgari-jog/")</f>
        <v>https://www.szaktars.hu/harmattan/view/polgari-jog/</v>
      </c>
    </row>
    <row r="635" spans="1:6" x14ac:dyDescent="0.25">
      <c r="A635" t="s">
        <v>1830</v>
      </c>
      <c r="B635" t="s">
        <v>1831</v>
      </c>
      <c r="C635" t="s">
        <v>1832</v>
      </c>
      <c r="D635">
        <v>2010</v>
      </c>
      <c r="E635" t="s">
        <v>1817</v>
      </c>
      <c r="F635" t="str">
        <f>HYPERLINK("https://www.szaktars.hu/harmattan/view/mikor-buncselekmeny-a-haboru-biztonsag-es-europai-emberi-jogok-az-egyeni-jogok-vedelme-szukseghelyzet-es-fegyveres-osszeutkozes-idejen/", "https://www.szaktars.hu/harmattan/view/mikor-buncselekmeny-a-haboru-biztonsag-es-europai-emberi-jogok-az-egyeni-jogok-vedelme-szukseghelyzet-es-fegyveres-osszeutkozes-idejen/")</f>
        <v>https://www.szaktars.hu/harmattan/view/mikor-buncselekmeny-a-haboru-biztonsag-es-europai-emberi-jogok-az-egyeni-jogok-vedelme-szukseghelyzet-es-fegyveres-osszeutkozes-idejen/</v>
      </c>
    </row>
    <row r="636" spans="1:6" x14ac:dyDescent="0.25">
      <c r="A636" t="s">
        <v>1833</v>
      </c>
      <c r="B636" t="s">
        <v>1834</v>
      </c>
      <c r="C636" t="s">
        <v>1835</v>
      </c>
      <c r="D636">
        <v>2013</v>
      </c>
      <c r="E636" t="s">
        <v>1817</v>
      </c>
      <c r="F636" t="str">
        <f>HYPERLINK("https://www.szaktars.hu/harmattan/view/alkotmanyjog-emberi-jogok-globalizacio-az-alkotmanyos-eszmek-migracioja/", "https://www.szaktars.hu/harmattan/view/alkotmanyjog-emberi-jogok-globalizacio-az-alkotmanyos-eszmek-migracioja/")</f>
        <v>https://www.szaktars.hu/harmattan/view/alkotmanyjog-emberi-jogok-globalizacio-az-alkotmanyos-eszmek-migracioja/</v>
      </c>
    </row>
    <row r="637" spans="1:6" x14ac:dyDescent="0.25">
      <c r="A637" t="s">
        <v>1836</v>
      </c>
      <c r="B637" t="s">
        <v>1837</v>
      </c>
      <c r="C637" t="s">
        <v>1838</v>
      </c>
      <c r="D637">
        <v>2016</v>
      </c>
      <c r="E637" t="s">
        <v>1817</v>
      </c>
      <c r="F637" t="str">
        <f>HYPERLINK("https://www.szaktars.hu/harmattan/view/a-magyar-tarsadalombiztositasi-es-szocialis-ellatasok-rendszere/", "https://www.szaktars.hu/harmattan/view/a-magyar-tarsadalombiztositasi-es-szocialis-ellatasok-rendszere/")</f>
        <v>https://www.szaktars.hu/harmattan/view/a-magyar-tarsadalombiztositasi-es-szocialis-ellatasok-rendszere/</v>
      </c>
    </row>
    <row r="638" spans="1:6" x14ac:dyDescent="0.25">
      <c r="A638" t="s">
        <v>1839</v>
      </c>
      <c r="B638" t="s">
        <v>1840</v>
      </c>
      <c r="C638" t="s">
        <v>1841</v>
      </c>
      <c r="D638">
        <v>2007</v>
      </c>
      <c r="E638" t="s">
        <v>1817</v>
      </c>
      <c r="F638" t="str">
        <f>HYPERLINK("https://www.szaktars.hu/harmattan/view/a-kozjog-alapjai/", "https://www.szaktars.hu/harmattan/view/a-kozjog-alapjai/")</f>
        <v>https://www.szaktars.hu/harmattan/view/a-kozjog-alapjai/</v>
      </c>
    </row>
    <row r="639" spans="1:6" x14ac:dyDescent="0.25">
      <c r="A639" t="s">
        <v>1842</v>
      </c>
      <c r="B639" t="s">
        <v>1840</v>
      </c>
      <c r="C639" t="s">
        <v>1843</v>
      </c>
      <c r="D639">
        <v>2011</v>
      </c>
      <c r="E639" t="s">
        <v>1817</v>
      </c>
      <c r="F639" t="str">
        <f>HYPERLINK("https://www.szaktars.hu/harmattan/view/a-kozjog-alapjai-alkotmany-alaptorveny/", "https://www.szaktars.hu/harmattan/view/a-kozjog-alapjai-alkotmany-alaptorveny/")</f>
        <v>https://www.szaktars.hu/harmattan/view/a-kozjog-alapjai-alkotmany-alaptorveny/</v>
      </c>
    </row>
    <row r="640" spans="1:6" x14ac:dyDescent="0.25">
      <c r="A640" t="s">
        <v>1844</v>
      </c>
      <c r="B640" t="s">
        <v>1845</v>
      </c>
      <c r="C640" t="s">
        <v>1846</v>
      </c>
      <c r="D640">
        <v>2006</v>
      </c>
      <c r="E640" t="s">
        <v>1817</v>
      </c>
      <c r="F640" t="str">
        <f>HYPERLINK("https://www.szaktars.hu/harmattan/view/a-kultura-es-a-tomegkommunikacio-jogi-szabalyai/", "https://www.szaktars.hu/harmattan/view/a-kultura-es-a-tomegkommunikacio-jogi-szabalyai/")</f>
        <v>https://www.szaktars.hu/harmattan/view/a-kultura-es-a-tomegkommunikacio-jogi-szabalyai/</v>
      </c>
    </row>
    <row r="641" spans="1:6" x14ac:dyDescent="0.25">
      <c r="A641" t="s">
        <v>1847</v>
      </c>
      <c r="B641" t="s">
        <v>1848</v>
      </c>
      <c r="C641" t="s">
        <v>1849</v>
      </c>
      <c r="D641">
        <v>2012</v>
      </c>
      <c r="E641" t="s">
        <v>1817</v>
      </c>
      <c r="F641" t="str">
        <f>HYPERLINK("https://www.szaktars.hu/harmattan/view/az-egyenloseg-fele-a-hatranyos-megkulonboztetes-tilalma-es-a-tamogato-intezkedesek/", "https://www.szaktars.hu/harmattan/view/az-egyenloseg-fele-a-hatranyos-megkulonboztetes-tilalma-es-a-tamogato-intezkedesek/")</f>
        <v>https://www.szaktars.hu/harmattan/view/az-egyenloseg-fele-a-hatranyos-megkulonboztetes-tilalma-es-a-tamogato-intezkedesek/</v>
      </c>
    </row>
    <row r="642" spans="1:6" x14ac:dyDescent="0.25">
      <c r="A642" t="s">
        <v>1850</v>
      </c>
      <c r="B642" t="s">
        <v>1851</v>
      </c>
      <c r="C642" t="s">
        <v>1852</v>
      </c>
      <c r="D642">
        <v>2014</v>
      </c>
      <c r="E642" t="s">
        <v>1817</v>
      </c>
      <c r="F642" t="str">
        <f>HYPERLINK("https://www.szaktars.hu/harmattan/view/a-munkajogi-megfeleles-osztonzesenek-ujszeru-jogi-eszkozei/", "https://www.szaktars.hu/harmattan/view/a-munkajogi-megfeleles-osztonzesenek-ujszeru-jogi-eszkozei/")</f>
        <v>https://www.szaktars.hu/harmattan/view/a-munkajogi-megfeleles-osztonzesenek-ujszeru-jogi-eszkozei/</v>
      </c>
    </row>
    <row r="643" spans="1:6" x14ac:dyDescent="0.25">
      <c r="A643" t="s">
        <v>1853</v>
      </c>
      <c r="B643" t="s">
        <v>1854</v>
      </c>
      <c r="C643" t="s">
        <v>1855</v>
      </c>
      <c r="D643">
        <v>2009</v>
      </c>
      <c r="E643" t="s">
        <v>1817</v>
      </c>
      <c r="F643" t="str">
        <f>HYPERLINK("https://www.szaktars.hu/harmattan/view/lejtos-palya-antidiszkriminacio-es-eselyegyenloseg/", "https://www.szaktars.hu/harmattan/view/lejtos-palya-antidiszkriminacio-es-eselyegyenloseg/")</f>
        <v>https://www.szaktars.hu/harmattan/view/lejtos-palya-antidiszkriminacio-es-eselyegyenloseg/</v>
      </c>
    </row>
    <row r="644" spans="1:6" x14ac:dyDescent="0.25">
      <c r="A644" t="s">
        <v>1856</v>
      </c>
      <c r="B644" t="s">
        <v>1857</v>
      </c>
      <c r="C644" t="s">
        <v>1858</v>
      </c>
      <c r="D644">
        <v>2010</v>
      </c>
      <c r="E644" t="s">
        <v>1817</v>
      </c>
      <c r="F644" t="str">
        <f>HYPERLINK("https://www.szaktars.hu/harmattan/view/felreertett-jogosultsagok-bizonytalan-helyzetu-alapjogok-magyarorszagon/", "https://www.szaktars.hu/harmattan/view/felreertett-jogosultsagok-bizonytalan-helyzetu-alapjogok-magyarorszagon/")</f>
        <v>https://www.szaktars.hu/harmattan/view/felreertett-jogosultsagok-bizonytalan-helyzetu-alapjogok-magyarorszagon/</v>
      </c>
    </row>
    <row r="645" spans="1:6" x14ac:dyDescent="0.25">
      <c r="A645" t="s">
        <v>1859</v>
      </c>
      <c r="B645" t="s">
        <v>1857</v>
      </c>
      <c r="C645" t="s">
        <v>1860</v>
      </c>
      <c r="D645">
        <v>2008</v>
      </c>
      <c r="E645" t="s">
        <v>1817</v>
      </c>
      <c r="F645" t="str">
        <f>HYPERLINK("https://www.szaktars.hu/harmattan/view/nemzetkozi-jog/", "https://www.szaktars.hu/harmattan/view/nemzetkozi-jog/")</f>
        <v>https://www.szaktars.hu/harmattan/view/nemzetkozi-jog/</v>
      </c>
    </row>
    <row r="646" spans="1:6" x14ac:dyDescent="0.25">
      <c r="A646" t="s">
        <v>1861</v>
      </c>
      <c r="B646" t="s">
        <v>1862</v>
      </c>
      <c r="C646" t="s">
        <v>1863</v>
      </c>
      <c r="D646">
        <v>2011</v>
      </c>
      <c r="E646" t="s">
        <v>1817</v>
      </c>
      <c r="F646" t="str">
        <f>HYPERLINK("https://www.szaktars.hu/harmattan/view/az-elveszejtett-alkotmany/", "https://www.szaktars.hu/harmattan/view/az-elveszejtett-alkotmany/")</f>
        <v>https://www.szaktars.hu/harmattan/view/az-elveszejtett-alkotmany/</v>
      </c>
    </row>
    <row r="647" spans="1:6" x14ac:dyDescent="0.25">
      <c r="A647" t="s">
        <v>1864</v>
      </c>
      <c r="B647" t="s">
        <v>1865</v>
      </c>
      <c r="C647" t="s">
        <v>1866</v>
      </c>
      <c r="D647">
        <v>2010</v>
      </c>
      <c r="E647" t="s">
        <v>1817</v>
      </c>
      <c r="F647" t="str">
        <f>HYPERLINK("https://www.szaktars.hu/harmattan/view/emberi-jogok-a-katolikus-egyhaz-eleteben-es-jogaban/", "https://www.szaktars.hu/harmattan/view/emberi-jogok-a-katolikus-egyhaz-eleteben-es-jogaban/")</f>
        <v>https://www.szaktars.hu/harmattan/view/emberi-jogok-a-katolikus-egyhaz-eleteben-es-jogaban/</v>
      </c>
    </row>
    <row r="648" spans="1:6" x14ac:dyDescent="0.25">
      <c r="A648" t="s">
        <v>1867</v>
      </c>
      <c r="B648" t="s">
        <v>1868</v>
      </c>
      <c r="C648" t="s">
        <v>1869</v>
      </c>
      <c r="D648">
        <v>2012</v>
      </c>
      <c r="E648" t="s">
        <v>1817</v>
      </c>
      <c r="F648" t="str">
        <f>HYPERLINK("https://www.szaktars.hu/harmattan/view/a-megfigyeles-tarsadalmanak-proliferaciojatol-az-etnikai-profilalkotason-at-az-allami-felelosseg-kiszervezeseig/", "https://www.szaktars.hu/harmattan/view/a-megfigyeles-tarsadalmanak-proliferaciojatol-az-etnikai-profilalkotason-at-az-allami-felelosseg-kiszervezeseig/")</f>
        <v>https://www.szaktars.hu/harmattan/view/a-megfigyeles-tarsadalmanak-proliferaciojatol-az-etnikai-profilalkotason-at-az-allami-felelosseg-kiszervezeseig/</v>
      </c>
    </row>
    <row r="649" spans="1:6" x14ac:dyDescent="0.25">
      <c r="A649" t="s">
        <v>1870</v>
      </c>
      <c r="B649" t="s">
        <v>1868</v>
      </c>
      <c r="C649" t="s">
        <v>1871</v>
      </c>
      <c r="D649">
        <v>2009</v>
      </c>
      <c r="E649" t="s">
        <v>1817</v>
      </c>
      <c r="F649" t="str">
        <f>HYPERLINK("https://www.szaktars.hu/harmattan/view/mozgasszabadsag-alkotmanyjogi-es-nemzetkozi-jogi-alapok/", "https://www.szaktars.hu/harmattan/view/mozgasszabadsag-alkotmanyjogi-es-nemzetkozi-jogi-alapok/")</f>
        <v>https://www.szaktars.hu/harmattan/view/mozgasszabadsag-alkotmanyjogi-es-nemzetkozi-jogi-alapok/</v>
      </c>
    </row>
    <row r="650" spans="1:6" x14ac:dyDescent="0.25">
      <c r="A650" t="s">
        <v>1872</v>
      </c>
      <c r="B650" t="s">
        <v>1873</v>
      </c>
      <c r="C650" t="s">
        <v>1874</v>
      </c>
      <c r="D650">
        <v>2006</v>
      </c>
      <c r="E650" t="s">
        <v>1817</v>
      </c>
      <c r="F650" t="str">
        <f>HYPERLINK("https://www.szaktars.hu/harmattan/view/munkajog/", "https://www.szaktars.hu/harmattan/view/munkajog/")</f>
        <v>https://www.szaktars.hu/harmattan/view/munkajog/</v>
      </c>
    </row>
    <row r="651" spans="1:6" x14ac:dyDescent="0.25">
      <c r="A651" t="s">
        <v>1875</v>
      </c>
      <c r="B651" t="s">
        <v>1876</v>
      </c>
      <c r="C651" t="s">
        <v>1877</v>
      </c>
      <c r="D651">
        <v>2016</v>
      </c>
      <c r="E651" t="s">
        <v>1817</v>
      </c>
      <c r="F651" t="str">
        <f>HYPERLINK("https://www.szaktars.hu/harmattan/view/az-en-molekulam-bioetika-es-emberi-jogok-a-xxi-szazad-elejen/", "https://www.szaktars.hu/harmattan/view/az-en-molekulam-bioetika-es-emberi-jogok-a-xxi-szazad-elejen/")</f>
        <v>https://www.szaktars.hu/harmattan/view/az-en-molekulam-bioetika-es-emberi-jogok-a-xxi-szazad-elejen/</v>
      </c>
    </row>
    <row r="652" spans="1:6" x14ac:dyDescent="0.25">
      <c r="A652" t="s">
        <v>1878</v>
      </c>
      <c r="B652" t="s">
        <v>1879</v>
      </c>
      <c r="C652" t="s">
        <v>1880</v>
      </c>
      <c r="D652">
        <v>2010</v>
      </c>
      <c r="E652" t="s">
        <v>1817</v>
      </c>
      <c r="F652" t="str">
        <f>HYPERLINK("https://www.szaktars.hu/harmattan/view/az-onkormanyzatisag-szine-es-fonakja-a-fovarosi-torvenyhatosagi-bizottsag-szabalyozasa-1920-es-1930-kozott/", "https://www.szaktars.hu/harmattan/view/az-onkormanyzatisag-szine-es-fonakja-a-fovarosi-torvenyhatosagi-bizottsag-szabalyozasa-1920-es-1930-kozott/")</f>
        <v>https://www.szaktars.hu/harmattan/view/az-onkormanyzatisag-szine-es-fonakja-a-fovarosi-torvenyhatosagi-bizottsag-szabalyozasa-1920-es-1930-kozott/</v>
      </c>
    </row>
    <row r="653" spans="1:6" x14ac:dyDescent="0.25">
      <c r="A653" t="s">
        <v>1881</v>
      </c>
      <c r="B653" t="s">
        <v>1882</v>
      </c>
      <c r="C653" t="s">
        <v>1883</v>
      </c>
      <c r="D653">
        <v>2013</v>
      </c>
      <c r="E653" t="s">
        <v>1817</v>
      </c>
      <c r="F653" t="str">
        <f>HYPERLINK("https://www.szaktars.hu/harmattan/view/donteshozatal-es-jogalkotas-az-europai-unioban-elmelet-es-gyakorlat/", "https://www.szaktars.hu/harmattan/view/donteshozatal-es-jogalkotas-az-europai-unioban-elmelet-es-gyakorlat/")</f>
        <v>https://www.szaktars.hu/harmattan/view/donteshozatal-es-jogalkotas-az-europai-unioban-elmelet-es-gyakorlat/</v>
      </c>
    </row>
    <row r="654" spans="1:6" x14ac:dyDescent="0.25">
      <c r="A654" t="s">
        <v>1884</v>
      </c>
      <c r="B654" t="s">
        <v>1885</v>
      </c>
      <c r="C654" t="s">
        <v>1886</v>
      </c>
      <c r="D654">
        <v>2009</v>
      </c>
      <c r="E654" t="s">
        <v>1817</v>
      </c>
      <c r="F654" t="str">
        <f>HYPERLINK("https://www.szaktars.hu/harmattan/view/erdekervenyesites-a-kozpolitikai-donteshozatalban-az-europai-unioban-es-magyarorszagon/", "https://www.szaktars.hu/harmattan/view/erdekervenyesites-a-kozpolitikai-donteshozatalban-az-europai-unioban-es-magyarorszagon/")</f>
        <v>https://www.szaktars.hu/harmattan/view/erdekervenyesites-a-kozpolitikai-donteshozatalban-az-europai-unioban-es-magyarorszagon/</v>
      </c>
    </row>
    <row r="655" spans="1:6" x14ac:dyDescent="0.25">
      <c r="A655" t="s">
        <v>1887</v>
      </c>
      <c r="B655" t="s">
        <v>1888</v>
      </c>
      <c r="C655" t="s">
        <v>1889</v>
      </c>
      <c r="D655">
        <v>2013</v>
      </c>
      <c r="E655" t="s">
        <v>1817</v>
      </c>
      <c r="F655" t="str">
        <f>HYPERLINK("https://www.szaktars.hu/harmattan/view/alapjogi-biraskodas-alapjogok-az-itelkezesben/", "https://www.szaktars.hu/harmattan/view/alapjogi-biraskodas-alapjogok-az-itelkezesben/")</f>
        <v>https://www.szaktars.hu/harmattan/view/alapjogi-biraskodas-alapjogok-az-itelkezesben/</v>
      </c>
    </row>
    <row r="656" spans="1:6" x14ac:dyDescent="0.25">
      <c r="A656" t="s">
        <v>1890</v>
      </c>
      <c r="B656" t="s">
        <v>1891</v>
      </c>
      <c r="C656" t="s">
        <v>1892</v>
      </c>
      <c r="D656">
        <v>2015</v>
      </c>
      <c r="E656" t="s">
        <v>1817</v>
      </c>
      <c r="F656" t="str">
        <f>HYPERLINK("https://www.szaktars.hu/harmattan/view/challenges-and-pitfalls-in-the-recent-hungarian-constitutional-development/", "https://www.szaktars.hu/harmattan/view/challenges-and-pitfalls-in-the-recent-hungarian-constitutional-development/")</f>
        <v>https://www.szaktars.hu/harmattan/view/challenges-and-pitfalls-in-the-recent-hungarian-constitutional-development/</v>
      </c>
    </row>
    <row r="657" spans="1:6" x14ac:dyDescent="0.25">
      <c r="A657" t="s">
        <v>1893</v>
      </c>
      <c r="B657" t="s">
        <v>1894</v>
      </c>
      <c r="C657" t="s">
        <v>1895</v>
      </c>
      <c r="D657">
        <v>2011</v>
      </c>
      <c r="E657" t="s">
        <v>1817</v>
      </c>
      <c r="F657" t="str">
        <f>HYPERLINK("https://www.szaktars.hu/harmattan/view/az-osszefonodas-ellenorzes-europai-unios-szabalyai-a-jogbiztonsag-tukreben/", "https://www.szaktars.hu/harmattan/view/az-osszefonodas-ellenorzes-europai-unios-szabalyai-a-jogbiztonsag-tukreben/")</f>
        <v>https://www.szaktars.hu/harmattan/view/az-osszefonodas-ellenorzes-europai-unios-szabalyai-a-jogbiztonsag-tukreben/</v>
      </c>
    </row>
    <row r="658" spans="1:6" x14ac:dyDescent="0.25">
      <c r="A658" t="s">
        <v>1896</v>
      </c>
      <c r="B658" t="s">
        <v>1897</v>
      </c>
      <c r="C658" t="s">
        <v>1898</v>
      </c>
      <c r="D658">
        <v>2003</v>
      </c>
      <c r="E658" t="s">
        <v>1817</v>
      </c>
      <c r="F658" t="str">
        <f>HYPERLINK("https://www.szaktars.hu/harmattan/view/formal-methods-for-railway-operation-and-control-systems/", "https://www.szaktars.hu/harmattan/view/formal-methods-for-railway-operation-and-control-systems/")</f>
        <v>https://www.szaktars.hu/harmattan/view/formal-methods-for-railway-operation-and-control-systems/</v>
      </c>
    </row>
    <row r="659" spans="1:6" x14ac:dyDescent="0.25">
      <c r="A659" t="s">
        <v>1899</v>
      </c>
      <c r="B659" t="s">
        <v>1900</v>
      </c>
      <c r="C659" t="s">
        <v>1901</v>
      </c>
      <c r="D659">
        <v>2010</v>
      </c>
      <c r="E659" t="s">
        <v>1817</v>
      </c>
      <c r="F659" t="str">
        <f>HYPERLINK("https://www.szaktars.hu/harmattan/view/buntetes-helyett-a-buntetoeljaras-alternativajakent-mukodo-eltereles-ertekelese/", "https://www.szaktars.hu/harmattan/view/buntetes-helyett-a-buntetoeljaras-alternativajakent-mukodo-eltereles-ertekelese/")</f>
        <v>https://www.szaktars.hu/harmattan/view/buntetes-helyett-a-buntetoeljaras-alternativajakent-mukodo-eltereles-ertekelese/</v>
      </c>
    </row>
    <row r="660" spans="1:6" x14ac:dyDescent="0.25">
      <c r="A660" t="s">
        <v>1902</v>
      </c>
      <c r="B660" t="s">
        <v>1903</v>
      </c>
      <c r="C660" t="s">
        <v>1904</v>
      </c>
      <c r="D660">
        <v>2007</v>
      </c>
      <c r="E660" t="s">
        <v>1905</v>
      </c>
      <c r="F660" t="str">
        <f>HYPERLINK("https://www.szaktars.hu/harmattan/view/hatekonysag-es-meggyozes-a-kommunikacioban-gyakorlati-retorika/", "https://www.szaktars.hu/harmattan/view/hatekonysag-es-meggyozes-a-kommunikacioban-gyakorlati-retorika/")</f>
        <v>https://www.szaktars.hu/harmattan/view/hatekonysag-es-meggyozes-a-kommunikacioban-gyakorlati-retorika/</v>
      </c>
    </row>
    <row r="661" spans="1:6" x14ac:dyDescent="0.25">
      <c r="A661" t="s">
        <v>1906</v>
      </c>
      <c r="B661" t="s">
        <v>1907</v>
      </c>
      <c r="C661" t="s">
        <v>1908</v>
      </c>
      <c r="D661">
        <v>2013</v>
      </c>
      <c r="E661" t="s">
        <v>1905</v>
      </c>
      <c r="F661" t="str">
        <f>HYPERLINK("https://www.szaktars.hu/harmattan/view/a-hirek-tortenete/", "https://www.szaktars.hu/harmattan/view/a-hirek-tortenete/")</f>
        <v>https://www.szaktars.hu/harmattan/view/a-hirek-tortenete/</v>
      </c>
    </row>
    <row r="662" spans="1:6" x14ac:dyDescent="0.25">
      <c r="A662" t="s">
        <v>1909</v>
      </c>
      <c r="B662" t="s">
        <v>1907</v>
      </c>
      <c r="C662" t="s">
        <v>1910</v>
      </c>
      <c r="D662">
        <v>2016</v>
      </c>
      <c r="E662" t="s">
        <v>1905</v>
      </c>
      <c r="F662" t="str">
        <f>HYPERLINK("https://www.szaktars.hu/harmattan/view/digitalis-media-es-mindennapi-elet-konvergencia-kontextus-kozossegi-media/", "https://www.szaktars.hu/harmattan/view/digitalis-media-es-mindennapi-elet-konvergencia-kontextus-kozossegi-media/")</f>
        <v>https://www.szaktars.hu/harmattan/view/digitalis-media-es-mindennapi-elet-konvergencia-kontextus-kozossegi-media/</v>
      </c>
    </row>
    <row r="663" spans="1:6" x14ac:dyDescent="0.25">
      <c r="A663" t="s">
        <v>1911</v>
      </c>
      <c r="B663" t="s">
        <v>1912</v>
      </c>
      <c r="C663" t="s">
        <v>1913</v>
      </c>
      <c r="D663">
        <v>2007</v>
      </c>
      <c r="E663" t="s">
        <v>1905</v>
      </c>
      <c r="F663" t="str">
        <f>HYPERLINK("https://www.szaktars.hu/harmattan/view/kiegyensulyozottsag-es-kampany-a-mediaban/", "https://www.szaktars.hu/harmattan/view/kiegyensulyozottsag-es-kampany-a-mediaban/")</f>
        <v>https://www.szaktars.hu/harmattan/view/kiegyensulyozottsag-es-kampany-a-mediaban/</v>
      </c>
    </row>
    <row r="664" spans="1:6" x14ac:dyDescent="0.25">
      <c r="A664" t="s">
        <v>1914</v>
      </c>
      <c r="B664" t="s">
        <v>1915</v>
      </c>
      <c r="C664" t="s">
        <v>1916</v>
      </c>
      <c r="D664">
        <v>2016</v>
      </c>
      <c r="E664" t="s">
        <v>1905</v>
      </c>
      <c r="F664" t="str">
        <f>HYPERLINK("https://www.szaktars.hu/harmattan/view/az-egyetertes-gepezet-a-tomegmedia-politikai-gazdasagtana/", "https://www.szaktars.hu/harmattan/view/az-egyetertes-gepezet-a-tomegmedia-politikai-gazdasagtana/")</f>
        <v>https://www.szaktars.hu/harmattan/view/az-egyetertes-gepezet-a-tomegmedia-politikai-gazdasagtana/</v>
      </c>
    </row>
    <row r="665" spans="1:6" x14ac:dyDescent="0.25">
      <c r="A665" t="s">
        <v>1917</v>
      </c>
      <c r="B665" t="s">
        <v>1918</v>
      </c>
      <c r="C665" t="s">
        <v>1919</v>
      </c>
      <c r="D665">
        <v>2009</v>
      </c>
      <c r="E665" t="s">
        <v>1905</v>
      </c>
      <c r="F665" t="str">
        <f>HYPERLINK("https://www.szaktars.hu/harmattan/view/a-konvergens-televiziozas-web-tv-kozosseg/", "https://www.szaktars.hu/harmattan/view/a-konvergens-televiziozas-web-tv-kozosseg/")</f>
        <v>https://www.szaktars.hu/harmattan/view/a-konvergens-televiziozas-web-tv-kozosseg/</v>
      </c>
    </row>
    <row r="666" spans="1:6" x14ac:dyDescent="0.25">
      <c r="A666" t="s">
        <v>1920</v>
      </c>
      <c r="B666" t="s">
        <v>1921</v>
      </c>
      <c r="C666" t="s">
        <v>1922</v>
      </c>
      <c r="D666">
        <v>2009</v>
      </c>
      <c r="E666" t="s">
        <v>1905</v>
      </c>
      <c r="F666" t="str">
        <f>HYPERLINK("https://www.szaktars.hu/harmattan/view/a-pillanat-zsarnoksaga-gyors-es-lassu-ido-az-informacios-tarsadalomban/", "https://www.szaktars.hu/harmattan/view/a-pillanat-zsarnoksaga-gyors-es-lassu-ido-az-informacios-tarsadalomban/")</f>
        <v>https://www.szaktars.hu/harmattan/view/a-pillanat-zsarnoksaga-gyors-es-lassu-ido-az-informacios-tarsadalomban/</v>
      </c>
    </row>
    <row r="667" spans="1:6" x14ac:dyDescent="0.25">
      <c r="A667" t="s">
        <v>1923</v>
      </c>
      <c r="B667" t="s">
        <v>1924</v>
      </c>
      <c r="C667" t="s">
        <v>1925</v>
      </c>
      <c r="D667">
        <v>2007</v>
      </c>
      <c r="E667" t="s">
        <v>1905</v>
      </c>
      <c r="F667" t="str">
        <f>HYPERLINK("https://www.szaktars.hu/harmattan/view/tanulmanyok-a-tarsadalmi-kommunikacio-temakorebol/", "https://www.szaktars.hu/harmattan/view/tanulmanyok-a-tarsadalmi-kommunikacio-temakorebol/")</f>
        <v>https://www.szaktars.hu/harmattan/view/tanulmanyok-a-tarsadalmi-kommunikacio-temakorebol/</v>
      </c>
    </row>
    <row r="668" spans="1:6" x14ac:dyDescent="0.25">
      <c r="A668" t="s">
        <v>1926</v>
      </c>
      <c r="B668" t="s">
        <v>1927</v>
      </c>
      <c r="C668" t="s">
        <v>1928</v>
      </c>
      <c r="D668">
        <v>2007</v>
      </c>
      <c r="E668" t="s">
        <v>1905</v>
      </c>
      <c r="F668" t="str">
        <f>HYPERLINK("https://www.szaktars.hu/harmattan/view/a-folyoiratok-kulturaja-az-elektronikus-kor-szemszogebol/", "https://www.szaktars.hu/harmattan/view/a-folyoiratok-kulturaja-az-elektronikus-kor-szemszogebol/")</f>
        <v>https://www.szaktars.hu/harmattan/view/a-folyoiratok-kulturaja-az-elektronikus-kor-szemszogebol/</v>
      </c>
    </row>
    <row r="669" spans="1:6" x14ac:dyDescent="0.25">
      <c r="A669" t="s">
        <v>1929</v>
      </c>
      <c r="B669" t="s">
        <v>1930</v>
      </c>
      <c r="C669" t="s">
        <v>1931</v>
      </c>
      <c r="D669">
        <v>2015</v>
      </c>
      <c r="E669" t="s">
        <v>1905</v>
      </c>
      <c r="F669" t="str">
        <f>HYPERLINK("https://www.szaktars.hu/harmattan/view/protokoll-a-diplomacia-es-a-nemzetkozi-kapcsolatok-hattereben-allami-diplomaciai-katonai-sport-es-vallasprotokoll-kezikonyv/", "https://www.szaktars.hu/harmattan/view/protokoll-a-diplomacia-es-a-nemzetkozi-kapcsolatok-hattereben-allami-diplomaciai-katonai-sport-es-vallasprotokoll-kezikonyv/")</f>
        <v>https://www.szaktars.hu/harmattan/view/protokoll-a-diplomacia-es-a-nemzetkozi-kapcsolatok-hattereben-allami-diplomaciai-katonai-sport-es-vallasprotokoll-kezikonyv/</v>
      </c>
    </row>
    <row r="670" spans="1:6" x14ac:dyDescent="0.25">
      <c r="A670" t="s">
        <v>1932</v>
      </c>
      <c r="B670" t="s">
        <v>1933</v>
      </c>
      <c r="C670" t="s">
        <v>1934</v>
      </c>
      <c r="D670">
        <v>2006</v>
      </c>
      <c r="E670" t="s">
        <v>1905</v>
      </c>
      <c r="F670" t="str">
        <f>HYPERLINK("https://www.szaktars.hu/harmattan/view/tavolabb-a-mediatol-2004-politikai-kampanyai/", "https://www.szaktars.hu/harmattan/view/tavolabb-a-mediatol-2004-politikai-kampanyai/")</f>
        <v>https://www.szaktars.hu/harmattan/view/tavolabb-a-mediatol-2004-politikai-kampanyai/</v>
      </c>
    </row>
    <row r="671" spans="1:6" x14ac:dyDescent="0.25">
      <c r="A671" t="s">
        <v>1935</v>
      </c>
      <c r="B671" t="s">
        <v>1936</v>
      </c>
      <c r="C671" t="s">
        <v>1937</v>
      </c>
      <c r="D671">
        <v>2007</v>
      </c>
      <c r="E671" t="s">
        <v>1905</v>
      </c>
      <c r="F671" t="str">
        <f>HYPERLINK("https://www.szaktars.hu/harmattan/view/tukorjatekok-a-2006-os-orszaggyulesi-valasztasi-kampany-elemzese/", "https://www.szaktars.hu/harmattan/view/tukorjatekok-a-2006-os-orszaggyulesi-valasztasi-kampany-elemzese/")</f>
        <v>https://www.szaktars.hu/harmattan/view/tukorjatekok-a-2006-os-orszaggyulesi-valasztasi-kampany-elemzese/</v>
      </c>
    </row>
    <row r="672" spans="1:6" x14ac:dyDescent="0.25">
      <c r="A672" t="s">
        <v>1938</v>
      </c>
      <c r="B672" t="s">
        <v>1939</v>
      </c>
      <c r="C672" t="s">
        <v>1940</v>
      </c>
      <c r="D672">
        <v>2008</v>
      </c>
      <c r="E672" t="s">
        <v>1905</v>
      </c>
      <c r="F672" t="str">
        <f>HYPERLINK("https://www.szaktars.hu/harmattan/view/kommunikalo-kulturak-a-toketelepites-nyelvi-es-kulturalis-infrastrukturaja-avagy-a-kulturakozi-kommunikacio-nehany-aspektusa/", "https://www.szaktars.hu/harmattan/view/kommunikalo-kulturak-a-toketelepites-nyelvi-es-kulturalis-infrastrukturaja-avagy-a-kulturakozi-kommunikacio-nehany-aspektusa/")</f>
        <v>https://www.szaktars.hu/harmattan/view/kommunikalo-kulturak-a-toketelepites-nyelvi-es-kulturalis-infrastrukturaja-avagy-a-kulturakozi-kommunikacio-nehany-aspektusa/</v>
      </c>
    </row>
    <row r="673" spans="1:6" x14ac:dyDescent="0.25">
      <c r="A673" t="s">
        <v>1941</v>
      </c>
      <c r="B673" t="s">
        <v>1942</v>
      </c>
      <c r="C673" t="s">
        <v>1943</v>
      </c>
      <c r="D673">
        <v>2006</v>
      </c>
      <c r="E673" t="s">
        <v>1905</v>
      </c>
      <c r="F673" t="str">
        <f>HYPERLINK("https://www.szaktars.hu/harmattan/view/a-nyilvanossag-etikai-es-esztetikai-dimenzioi/", "https://www.szaktars.hu/harmattan/view/a-nyilvanossag-etikai-es-esztetikai-dimenzioi/")</f>
        <v>https://www.szaktars.hu/harmattan/view/a-nyilvanossag-etikai-es-esztetikai-dimenzioi/</v>
      </c>
    </row>
    <row r="674" spans="1:6" x14ac:dyDescent="0.25">
      <c r="A674" t="s">
        <v>1944</v>
      </c>
      <c r="B674" t="s">
        <v>1945</v>
      </c>
      <c r="C674" t="s">
        <v>1946</v>
      </c>
      <c r="D674">
        <v>2011</v>
      </c>
      <c r="E674" t="s">
        <v>1905</v>
      </c>
      <c r="F674" t="str">
        <f>HYPERLINK("https://www.szaktars.hu/harmattan/view/szakralis-kommunikacio/", "https://www.szaktars.hu/harmattan/view/szakralis-kommunikacio/")</f>
        <v>https://www.szaktars.hu/harmattan/view/szakralis-kommunikacio/</v>
      </c>
    </row>
    <row r="675" spans="1:6" x14ac:dyDescent="0.25">
      <c r="A675" t="s">
        <v>1947</v>
      </c>
      <c r="B675" t="s">
        <v>1948</v>
      </c>
      <c r="C675" t="s">
        <v>1949</v>
      </c>
      <c r="D675">
        <v>2011</v>
      </c>
      <c r="E675" t="s">
        <v>1905</v>
      </c>
      <c r="F675" t="str">
        <f>HYPERLINK("https://www.szaktars.hu/harmattan/view/a-valtozas-kulturai-muveszet-media-es-rendszervaltas/", "https://www.szaktars.hu/harmattan/view/a-valtozas-kulturai-muveszet-media-es-rendszervaltas/")</f>
        <v>https://www.szaktars.hu/harmattan/view/a-valtozas-kulturai-muveszet-media-es-rendszervaltas/</v>
      </c>
    </row>
    <row r="676" spans="1:6" x14ac:dyDescent="0.25">
      <c r="A676" t="s">
        <v>1950</v>
      </c>
      <c r="B676" t="s">
        <v>1951</v>
      </c>
      <c r="C676" t="s">
        <v>1952</v>
      </c>
      <c r="D676">
        <v>2011</v>
      </c>
      <c r="E676" t="s">
        <v>1905</v>
      </c>
      <c r="F676" t="str">
        <f>HYPERLINK("https://www.szaktars.hu/harmattan/view/kritikus-kampany-a-2010-es-orszaggyulesi-valasztasi-kampany-elemzese/", "https://www.szaktars.hu/harmattan/view/kritikus-kampany-a-2010-es-orszaggyulesi-valasztasi-kampany-elemzese/")</f>
        <v>https://www.szaktars.hu/harmattan/view/kritikus-kampany-a-2010-es-orszaggyulesi-valasztasi-kampany-elemzese/</v>
      </c>
    </row>
    <row r="677" spans="1:6" x14ac:dyDescent="0.25">
      <c r="A677" t="s">
        <v>1953</v>
      </c>
      <c r="B677" t="s">
        <v>1954</v>
      </c>
      <c r="C677" t="s">
        <v>1955</v>
      </c>
      <c r="D677">
        <v>2014</v>
      </c>
      <c r="E677" t="s">
        <v>1905</v>
      </c>
      <c r="F677" t="str">
        <f>HYPERLINK("https://www.szaktars.hu/harmattan/view/kommunikacio-es-integracio-a-magyar-mediatorvenyek-europai-vitaja/", "https://www.szaktars.hu/harmattan/view/kommunikacio-es-integracio-a-magyar-mediatorvenyek-europai-vitaja/")</f>
        <v>https://www.szaktars.hu/harmattan/view/kommunikacio-es-integracio-a-magyar-mediatorvenyek-europai-vitaja/</v>
      </c>
    </row>
    <row r="678" spans="1:6" x14ac:dyDescent="0.25">
      <c r="A678" t="s">
        <v>1956</v>
      </c>
      <c r="B678" t="s">
        <v>1957</v>
      </c>
      <c r="C678" t="s">
        <v>1958</v>
      </c>
      <c r="D678">
        <v>2010</v>
      </c>
      <c r="E678" t="s">
        <v>1905</v>
      </c>
      <c r="F678" t="str">
        <f>HYPERLINK("https://www.szaktars.hu/harmattan/view/a-kozszolgalati-media-es-az-europai-versenyjog-kozszolgalatisag-a-valtozo-vilagban/", "https://www.szaktars.hu/harmattan/view/a-kozszolgalati-media-es-az-europai-versenyjog-kozszolgalatisag-a-valtozo-vilagban/")</f>
        <v>https://www.szaktars.hu/harmattan/view/a-kozszolgalati-media-es-az-europai-versenyjog-kozszolgalatisag-a-valtozo-vilagban/</v>
      </c>
    </row>
    <row r="679" spans="1:6" x14ac:dyDescent="0.25">
      <c r="A679" t="s">
        <v>1959</v>
      </c>
      <c r="B679" t="s">
        <v>1960</v>
      </c>
      <c r="C679" t="s">
        <v>1961</v>
      </c>
      <c r="D679">
        <v>2013</v>
      </c>
      <c r="E679" t="s">
        <v>1905</v>
      </c>
      <c r="F679" t="str">
        <f>HYPERLINK("https://www.szaktars.hu/harmattan/view/az-informaciotol-a-muveltsegig-az-informacios-muveltseg-alapjai/", "https://www.szaktars.hu/harmattan/view/az-informaciotol-a-muveltsegig-az-informacios-muveltseg-alapjai/")</f>
        <v>https://www.szaktars.hu/harmattan/view/az-informaciotol-a-muveltsegig-az-informacios-muveltseg-alapjai/</v>
      </c>
    </row>
    <row r="680" spans="1:6" x14ac:dyDescent="0.25">
      <c r="A680" t="s">
        <v>1962</v>
      </c>
      <c r="B680" t="s">
        <v>1963</v>
      </c>
      <c r="C680" t="s">
        <v>1964</v>
      </c>
      <c r="D680">
        <v>2008</v>
      </c>
      <c r="E680" t="s">
        <v>1965</v>
      </c>
      <c r="F680" t="str">
        <f>HYPERLINK("https://www.szaktars.hu/harmattan/view/osszehasonlito-gazdasagtan-globalis-szemleletben/", "https://www.szaktars.hu/harmattan/view/osszehasonlito-gazdasagtan-globalis-szemleletben/")</f>
        <v>https://www.szaktars.hu/harmattan/view/osszehasonlito-gazdasagtan-globalis-szemleletben/</v>
      </c>
    </row>
    <row r="681" spans="1:6" x14ac:dyDescent="0.25">
      <c r="A681" t="s">
        <v>1966</v>
      </c>
      <c r="B681" t="s">
        <v>1967</v>
      </c>
      <c r="C681" t="s">
        <v>1968</v>
      </c>
      <c r="D681">
        <v>2015</v>
      </c>
      <c r="E681" t="s">
        <v>1965</v>
      </c>
      <c r="F681" t="str">
        <f>HYPERLINK("https://www.szaktars.hu/harmattan/view/tulelesi-strategiak-a-magyar-gazdasagban-esettanulmanyok-a-2000-es-evek-elejerol/", "https://www.szaktars.hu/harmattan/view/tulelesi-strategiak-a-magyar-gazdasagban-esettanulmanyok-a-2000-es-evek-elejerol/")</f>
        <v>https://www.szaktars.hu/harmattan/view/tulelesi-strategiak-a-magyar-gazdasagban-esettanulmanyok-a-2000-es-evek-elejerol/</v>
      </c>
    </row>
    <row r="682" spans="1:6" x14ac:dyDescent="0.25">
      <c r="A682" t="s">
        <v>1969</v>
      </c>
      <c r="B682" t="s">
        <v>1970</v>
      </c>
      <c r="C682" t="s">
        <v>1971</v>
      </c>
      <c r="D682">
        <v>2013</v>
      </c>
      <c r="E682" t="s">
        <v>1965</v>
      </c>
      <c r="F682" t="str">
        <f>HYPERLINK("https://www.szaktars.hu/harmattan/view/civil-gazdasag-hatekonysag-meltanyossag-koz-jollet/", "https://www.szaktars.hu/harmattan/view/civil-gazdasag-hatekonysag-meltanyossag-koz-jollet/")</f>
        <v>https://www.szaktars.hu/harmattan/view/civil-gazdasag-hatekonysag-meltanyossag-koz-jollet/</v>
      </c>
    </row>
    <row r="683" spans="1:6" x14ac:dyDescent="0.25">
      <c r="A683" t="s">
        <v>1972</v>
      </c>
      <c r="B683" t="s">
        <v>1973</v>
      </c>
      <c r="C683" t="s">
        <v>1974</v>
      </c>
      <c r="D683">
        <v>2007</v>
      </c>
      <c r="E683" t="s">
        <v>1965</v>
      </c>
      <c r="F683" t="str">
        <f>HYPERLINK("https://www.szaktars.hu/harmattan/view/tarsadalom-identitas-es-teruletfejlesztes-a-teruleti-identitas-es-a-regionalitas-kapcsolata/", "https://www.szaktars.hu/harmattan/view/tarsadalom-identitas-es-teruletfejlesztes-a-teruleti-identitas-es-a-regionalitas-kapcsolata/")</f>
        <v>https://www.szaktars.hu/harmattan/view/tarsadalom-identitas-es-teruletfejlesztes-a-teruleti-identitas-es-a-regionalitas-kapcsolata/</v>
      </c>
    </row>
    <row r="684" spans="1:6" x14ac:dyDescent="0.25">
      <c r="A684" t="s">
        <v>1975</v>
      </c>
      <c r="B684" t="s">
        <v>1976</v>
      </c>
      <c r="C684" t="s">
        <v>1977</v>
      </c>
      <c r="D684">
        <v>2011</v>
      </c>
      <c r="E684" t="s">
        <v>1965</v>
      </c>
      <c r="F684" t="str">
        <f>HYPERLINK("https://www.szaktars.hu/harmattan/view/a-gazdasagi-es-tarsadalmi-erdekervenyesites-strategiai-es-szervezeti-modelljei-a-20-szazadban/", "https://www.szaktars.hu/harmattan/view/a-gazdasagi-es-tarsadalmi-erdekervenyesites-strategiai-es-szervezeti-modelljei-a-20-szazadban/")</f>
        <v>https://www.szaktars.hu/harmattan/view/a-gazdasagi-es-tarsadalmi-erdekervenyesites-strategiai-es-szervezeti-modelljei-a-20-szazadban/</v>
      </c>
    </row>
    <row r="685" spans="1:6" x14ac:dyDescent="0.25">
      <c r="A685" t="s">
        <v>1978</v>
      </c>
      <c r="B685" t="s">
        <v>1976</v>
      </c>
      <c r="C685" t="s">
        <v>1979</v>
      </c>
      <c r="D685">
        <v>2013</v>
      </c>
      <c r="E685" t="s">
        <v>1965</v>
      </c>
      <c r="F685" t="str">
        <f>HYPERLINK("https://www.szaktars.hu/harmattan/view/tanulmanyok-a-magyar-menedzsmenttudomany-20-szazadi-torteneterol/", "https://www.szaktars.hu/harmattan/view/tanulmanyok-a-magyar-menedzsmenttudomany-20-szazadi-torteneterol/")</f>
        <v>https://www.szaktars.hu/harmattan/view/tanulmanyok-a-magyar-menedzsmenttudomany-20-szazadi-torteneterol/</v>
      </c>
    </row>
    <row r="686" spans="1:6" x14ac:dyDescent="0.25">
      <c r="A686" t="s">
        <v>1980</v>
      </c>
      <c r="B686" t="s">
        <v>1981</v>
      </c>
      <c r="C686" t="s">
        <v>1982</v>
      </c>
      <c r="D686">
        <v>2011</v>
      </c>
      <c r="E686" t="s">
        <v>1965</v>
      </c>
      <c r="F686" t="str">
        <f>HYPERLINK("https://www.szaktars.hu/harmattan/view/tarsadalmi-es-gazdasagi-erdekervenyesites-a-xx-szazadban/", "https://www.szaktars.hu/harmattan/view/tarsadalmi-es-gazdasagi-erdekervenyesites-a-xx-szazadban/")</f>
        <v>https://www.szaktars.hu/harmattan/view/tarsadalmi-es-gazdasagi-erdekervenyesites-a-xx-szazadban/</v>
      </c>
    </row>
    <row r="687" spans="1:6" x14ac:dyDescent="0.25">
      <c r="A687" t="s">
        <v>1983</v>
      </c>
      <c r="B687" t="s">
        <v>1984</v>
      </c>
      <c r="C687" t="s">
        <v>1985</v>
      </c>
      <c r="D687">
        <v>2011</v>
      </c>
      <c r="E687" t="s">
        <v>1965</v>
      </c>
      <c r="F687" t="str">
        <f>HYPERLINK("https://www.szaktars.hu/harmattan/view/egy-valuta-tortenete-a-forint-forgalma-a-stabilizaciotol-az-euro-eloszobajaig/", "https://www.szaktars.hu/harmattan/view/egy-valuta-tortenete-a-forint-forgalma-a-stabilizaciotol-az-euro-eloszobajaig/")</f>
        <v>https://www.szaktars.hu/harmattan/view/egy-valuta-tortenete-a-forint-forgalma-a-stabilizaciotol-az-euro-eloszobajaig/</v>
      </c>
    </row>
    <row r="688" spans="1:6" x14ac:dyDescent="0.25">
      <c r="A688" t="s">
        <v>1986</v>
      </c>
      <c r="B688" t="s">
        <v>1987</v>
      </c>
      <c r="C688" t="s">
        <v>1988</v>
      </c>
      <c r="D688">
        <v>2013</v>
      </c>
      <c r="E688" t="s">
        <v>1965</v>
      </c>
      <c r="F688" t="str">
        <f>HYPERLINK("https://www.szaktars.hu/harmattan/view/ter-es-kozgazdasagtan/", "https://www.szaktars.hu/harmattan/view/ter-es-kozgazdasagtan/")</f>
        <v>https://www.szaktars.hu/harmattan/view/ter-es-kozgazdasagtan/</v>
      </c>
    </row>
    <row r="689" spans="1:6" x14ac:dyDescent="0.25">
      <c r="A689" t="s">
        <v>1989</v>
      </c>
      <c r="B689" t="s">
        <v>1990</v>
      </c>
      <c r="C689" t="s">
        <v>1991</v>
      </c>
      <c r="D689">
        <v>2007</v>
      </c>
      <c r="E689" t="s">
        <v>1965</v>
      </c>
      <c r="F689" t="str">
        <f>HYPERLINK("https://www.szaktars.hu/harmattan/view/a-rejtett-gazdasag/", "https://www.szaktars.hu/harmattan/view/a-rejtett-gazdasag/")</f>
        <v>https://www.szaktars.hu/harmattan/view/a-rejtett-gazdasag/</v>
      </c>
    </row>
    <row r="690" spans="1:6" x14ac:dyDescent="0.25">
      <c r="A690" t="s">
        <v>1992</v>
      </c>
      <c r="B690" t="s">
        <v>1993</v>
      </c>
      <c r="C690" t="s">
        <v>1994</v>
      </c>
      <c r="D690">
        <v>2009</v>
      </c>
      <c r="E690" t="s">
        <v>1965</v>
      </c>
      <c r="F690" t="str">
        <f>HYPERLINK("https://www.szaktars.hu/harmattan/view/karbongazdasag/", "https://www.szaktars.hu/harmattan/view/karbongazdasag/")</f>
        <v>https://www.szaktars.hu/harmattan/view/karbongazdasag/</v>
      </c>
    </row>
    <row r="691" spans="1:6" x14ac:dyDescent="0.25">
      <c r="A691" t="s">
        <v>1995</v>
      </c>
      <c r="B691" t="s">
        <v>1996</v>
      </c>
      <c r="C691" t="s">
        <v>1997</v>
      </c>
      <c r="D691">
        <v>2012</v>
      </c>
      <c r="E691" t="s">
        <v>1965</v>
      </c>
      <c r="F691" t="str">
        <f>HYPERLINK("https://www.szaktars.hu/harmattan/view/tudasalapu-regionalis-fejlodes/", "https://www.szaktars.hu/harmattan/view/tudasalapu-regionalis-fejlodes/")</f>
        <v>https://www.szaktars.hu/harmattan/view/tudasalapu-regionalis-fejlodes/</v>
      </c>
    </row>
    <row r="692" spans="1:6" x14ac:dyDescent="0.25">
      <c r="A692" t="s">
        <v>1998</v>
      </c>
      <c r="B692" t="s">
        <v>1999</v>
      </c>
      <c r="C692" t="s">
        <v>2000</v>
      </c>
      <c r="D692">
        <v>2006</v>
      </c>
      <c r="E692" t="s">
        <v>1965</v>
      </c>
      <c r="F692" t="str">
        <f>HYPERLINK("https://www.szaktars.hu/harmattan/view/a-szemelyugyi-kontrolling-gyakorlata/", "https://www.szaktars.hu/harmattan/view/a-szemelyugyi-kontrolling-gyakorlata/")</f>
        <v>https://www.szaktars.hu/harmattan/view/a-szemelyugyi-kontrolling-gyakorlata/</v>
      </c>
    </row>
    <row r="693" spans="1:6" x14ac:dyDescent="0.25">
      <c r="A693" t="s">
        <v>2001</v>
      </c>
      <c r="B693" t="s">
        <v>2002</v>
      </c>
      <c r="C693" t="s">
        <v>2003</v>
      </c>
      <c r="D693">
        <v>2007</v>
      </c>
      <c r="E693" t="s">
        <v>1965</v>
      </c>
      <c r="F693" t="str">
        <f>HYPERLINK("https://www.szaktars.hu/harmattan/view/a-makrookonomia-alapjai/", "https://www.szaktars.hu/harmattan/view/a-makrookonomia-alapjai/")</f>
        <v>https://www.szaktars.hu/harmattan/view/a-makrookonomia-alapjai/</v>
      </c>
    </row>
    <row r="694" spans="1:6" x14ac:dyDescent="0.25">
      <c r="A694" t="s">
        <v>2004</v>
      </c>
      <c r="B694" t="s">
        <v>2002</v>
      </c>
      <c r="C694" t="s">
        <v>2005</v>
      </c>
      <c r="D694">
        <v>2007</v>
      </c>
      <c r="E694" t="s">
        <v>1965</v>
      </c>
      <c r="F694" t="str">
        <f>HYPERLINK("https://www.szaktars.hu/harmattan/view/a-mikrookonomia-alapjai/", "https://www.szaktars.hu/harmattan/view/a-mikrookonomia-alapjai/")</f>
        <v>https://www.szaktars.hu/harmattan/view/a-mikrookonomia-alapjai/</v>
      </c>
    </row>
    <row r="695" spans="1:6" x14ac:dyDescent="0.25">
      <c r="A695" t="s">
        <v>2006</v>
      </c>
      <c r="B695" t="s">
        <v>2007</v>
      </c>
      <c r="C695" t="s">
        <v>2008</v>
      </c>
      <c r="D695">
        <v>2014</v>
      </c>
      <c r="E695" t="s">
        <v>1965</v>
      </c>
      <c r="F695" t="str">
        <f>HYPERLINK("https://www.szaktars.hu/harmattan/view/technomenedzsment-bevalt-modszerek-es-uj-utak/", "https://www.szaktars.hu/harmattan/view/technomenedzsment-bevalt-modszerek-es-uj-utak/")</f>
        <v>https://www.szaktars.hu/harmattan/view/technomenedzsment-bevalt-modszerek-es-uj-utak/</v>
      </c>
    </row>
    <row r="696" spans="1:6" x14ac:dyDescent="0.25">
      <c r="A696" t="s">
        <v>2009</v>
      </c>
      <c r="B696" t="s">
        <v>2010</v>
      </c>
      <c r="C696" t="s">
        <v>2011</v>
      </c>
      <c r="D696">
        <v>2011</v>
      </c>
      <c r="E696" t="s">
        <v>1965</v>
      </c>
      <c r="F696" t="str">
        <f>HYPERLINK("https://www.szaktars.hu/harmattan/view/a-magyar-emberitoke-allomany-allapota/", "https://www.szaktars.hu/harmattan/view/a-magyar-emberitoke-allomany-allapota/")</f>
        <v>https://www.szaktars.hu/harmattan/view/a-magyar-emberitoke-allomany-allapota/</v>
      </c>
    </row>
    <row r="697" spans="1:6" x14ac:dyDescent="0.25">
      <c r="A697" t="s">
        <v>2012</v>
      </c>
      <c r="B697" t="s">
        <v>2013</v>
      </c>
      <c r="C697" t="s">
        <v>2014</v>
      </c>
      <c r="D697">
        <v>2016</v>
      </c>
      <c r="E697" t="s">
        <v>1965</v>
      </c>
      <c r="F697" t="str">
        <f>HYPERLINK("https://www.szaktars.hu/harmattan/view/gazdasaggep-a-fenntarthato-fejlodes-kozgazdasagtananak-kettos-tortenete-humanokonomia-i/", "https://www.szaktars.hu/harmattan/view/gazdasaggep-a-fenntarthato-fejlodes-kozgazdasagtananak-kettos-tortenete-humanokonomia-i/")</f>
        <v>https://www.szaktars.hu/harmattan/view/gazdasaggep-a-fenntarthato-fejlodes-kozgazdasagtananak-kettos-tortenete-humanokonomia-i/</v>
      </c>
    </row>
    <row r="698" spans="1:6" x14ac:dyDescent="0.25">
      <c r="A698" t="s">
        <v>2015</v>
      </c>
      <c r="B698" t="s">
        <v>2016</v>
      </c>
      <c r="C698" t="s">
        <v>2017</v>
      </c>
      <c r="D698">
        <v>2014</v>
      </c>
      <c r="E698" t="s">
        <v>1965</v>
      </c>
      <c r="F698" t="str">
        <f>HYPERLINK("https://www.szaktars.hu/harmattan/view/alapjovedelem/", "https://www.szaktars.hu/harmattan/view/alapjovedelem/")</f>
        <v>https://www.szaktars.hu/harmattan/view/alapjovedelem/</v>
      </c>
    </row>
    <row r="699" spans="1:6" x14ac:dyDescent="0.25">
      <c r="A699" t="s">
        <v>2018</v>
      </c>
      <c r="B699" t="s">
        <v>2019</v>
      </c>
      <c r="C699" t="s">
        <v>2020</v>
      </c>
      <c r="D699">
        <v>2013</v>
      </c>
      <c r="E699" t="s">
        <v>1965</v>
      </c>
      <c r="F699" t="str">
        <f>HYPERLINK("https://www.szaktars.hu/harmattan/view/gazdasag-tarsadalom-hivatasrendiseg-a-20-szazadi-europaban-tanulmanyok/", "https://www.szaktars.hu/harmattan/view/gazdasag-tarsadalom-hivatasrendiseg-a-20-szazadi-europaban-tanulmanyok/")</f>
        <v>https://www.szaktars.hu/harmattan/view/gazdasag-tarsadalom-hivatasrendiseg-a-20-szazadi-europaban-tanulmanyok/</v>
      </c>
    </row>
    <row r="700" spans="1:6" x14ac:dyDescent="0.25">
      <c r="A700" s="1" t="s">
        <v>2021</v>
      </c>
      <c r="B700" t="s">
        <v>2022</v>
      </c>
      <c r="C700" t="s">
        <v>2023</v>
      </c>
      <c r="D700">
        <v>2004</v>
      </c>
      <c r="E700" t="s">
        <v>2024</v>
      </c>
      <c r="F700" t="str">
        <f>HYPERLINK("https://www.szaktars.hu/harmattan/view/az-ido-rostajaban-tanulmanyok-vargyas-lajos-90-szuletesnapjara-i-kotet/", "https://www.szaktars.hu/harmattan/view/az-ido-rostajaban-tanulmanyok-vargyas-lajos-90-szuletesnapjara-i-kotet/")</f>
        <v>https://www.szaktars.hu/harmattan/view/az-ido-rostajaban-tanulmanyok-vargyas-lajos-90-szuletesnapjara-i-kotet/</v>
      </c>
    </row>
    <row r="701" spans="1:6" x14ac:dyDescent="0.25">
      <c r="A701" s="1" t="s">
        <v>2025</v>
      </c>
      <c r="B701" t="s">
        <v>2022</v>
      </c>
      <c r="C701" t="s">
        <v>2026</v>
      </c>
      <c r="D701">
        <v>2004</v>
      </c>
      <c r="E701" t="s">
        <v>2024</v>
      </c>
      <c r="F701" t="str">
        <f>HYPERLINK("https://www.szaktars.hu/harmattan/view/az-ido-rostajaban-tanulmanyok-vargyas-lajos-90-szuletesnapjara-ii-kotet/", "https://www.szaktars.hu/harmattan/view/az-ido-rostajaban-tanulmanyok-vargyas-lajos-90-szuletesnapjara-ii-kotet/")</f>
        <v>https://www.szaktars.hu/harmattan/view/az-ido-rostajaban-tanulmanyok-vargyas-lajos-90-szuletesnapjara-ii-kotet/</v>
      </c>
    </row>
    <row r="702" spans="1:6" x14ac:dyDescent="0.25">
      <c r="A702" s="1" t="s">
        <v>2027</v>
      </c>
      <c r="B702" t="s">
        <v>2022</v>
      </c>
      <c r="C702" t="s">
        <v>2028</v>
      </c>
      <c r="D702">
        <v>2004</v>
      </c>
      <c r="E702" t="s">
        <v>2024</v>
      </c>
      <c r="F702" t="str">
        <f>HYPERLINK("https://www.szaktars.hu/harmattan/view/az-ido-rostajaban-tanulmanyok-vargyas-lajos-90-szuletesnapjara-iii-kotet/", "https://www.szaktars.hu/harmattan/view/az-ido-rostajaban-tanulmanyok-vargyas-lajos-90-szuletesnapjara-iii-kotet/")</f>
        <v>https://www.szaktars.hu/harmattan/view/az-ido-rostajaban-tanulmanyok-vargyas-lajos-90-szuletesnapjara-iii-kotet/</v>
      </c>
    </row>
    <row r="703" spans="1:6" x14ac:dyDescent="0.25">
      <c r="A703" t="s">
        <v>2029</v>
      </c>
      <c r="B703" t="s">
        <v>2030</v>
      </c>
      <c r="C703" t="s">
        <v>2031</v>
      </c>
      <c r="D703">
        <v>2011</v>
      </c>
      <c r="E703" t="s">
        <v>2024</v>
      </c>
      <c r="F703" t="str">
        <f>HYPERLINK("https://www.szaktars.hu/harmattan/view/egyutt-elo-nepek-eltero-ertekrendek-andrasfalvy-bertalan-valogatott-tarsadalomneprajzi-tanulmanyai/", "https://www.szaktars.hu/harmattan/view/egyutt-elo-nepek-eltero-ertekrendek-andrasfalvy-bertalan-valogatott-tarsadalomneprajzi-tanulmanyai/")</f>
        <v>https://www.szaktars.hu/harmattan/view/egyutt-elo-nepek-eltero-ertekrendek-andrasfalvy-bertalan-valogatott-tarsadalomneprajzi-tanulmanyai/</v>
      </c>
    </row>
    <row r="704" spans="1:6" x14ac:dyDescent="0.25">
      <c r="A704" t="s">
        <v>2032</v>
      </c>
      <c r="B704" t="s">
        <v>2033</v>
      </c>
      <c r="C704" t="s">
        <v>2034</v>
      </c>
      <c r="D704">
        <v>2003</v>
      </c>
      <c r="E704" t="s">
        <v>2024</v>
      </c>
      <c r="F704" t="str">
        <f>HYPERLINK("https://www.szaktars.hu/harmattan/view/gyimes-volgyi-csango-nepi-gyogyaszat/", "https://www.szaktars.hu/harmattan/view/gyimes-volgyi-csango-nepi-gyogyaszat/")</f>
        <v>https://www.szaktars.hu/harmattan/view/gyimes-volgyi-csango-nepi-gyogyaszat/</v>
      </c>
    </row>
    <row r="705" spans="1:6" x14ac:dyDescent="0.25">
      <c r="A705" t="s">
        <v>2035</v>
      </c>
      <c r="B705" t="s">
        <v>2036</v>
      </c>
      <c r="C705" t="s">
        <v>2037</v>
      </c>
      <c r="D705">
        <v>2011</v>
      </c>
      <c r="E705" t="s">
        <v>2024</v>
      </c>
      <c r="F705" t="str">
        <f>HYPERLINK("https://www.szaktars.hu/harmattan/view/fejezetek-a-kozepkori-anyagi-kultura-tortenetebol-i/", "https://www.szaktars.hu/harmattan/view/fejezetek-a-kozepkori-anyagi-kultura-tortenetebol-i/")</f>
        <v>https://www.szaktars.hu/harmattan/view/fejezetek-a-kozepkori-anyagi-kultura-tortenetebol-i/</v>
      </c>
    </row>
    <row r="706" spans="1:6" x14ac:dyDescent="0.25">
      <c r="A706" t="s">
        <v>2038</v>
      </c>
      <c r="B706" t="s">
        <v>2036</v>
      </c>
      <c r="C706" t="s">
        <v>2039</v>
      </c>
      <c r="D706">
        <v>2012</v>
      </c>
      <c r="E706" t="s">
        <v>2024</v>
      </c>
      <c r="F706" t="str">
        <f>HYPERLINK("https://www.szaktars.hu/harmattan/view/fejezetek-a-kozepkori-anyagi-kultura-tortenetebol-ii/", "https://www.szaktars.hu/harmattan/view/fejezetek-a-kozepkori-anyagi-kultura-tortenetebol-ii/")</f>
        <v>https://www.szaktars.hu/harmattan/view/fejezetek-a-kozepkori-anyagi-kultura-tortenetebol-ii/</v>
      </c>
    </row>
    <row r="707" spans="1:6" x14ac:dyDescent="0.25">
      <c r="A707" t="s">
        <v>2040</v>
      </c>
      <c r="B707" t="s">
        <v>2041</v>
      </c>
      <c r="C707" t="s">
        <v>2042</v>
      </c>
      <c r="D707">
        <v>2001</v>
      </c>
      <c r="E707" t="s">
        <v>2024</v>
      </c>
      <c r="F707" t="str">
        <f>HYPERLINK("https://www.szaktars.hu/harmattan/view/magyar-biblia-a-vilag-teremtese-az-ozonviz-jezus-elete-s-a-vilag-vege-napjaink-szajhagyomanyaban/", "https://www.szaktars.hu/harmattan/view/magyar-biblia-a-vilag-teremtese-az-ozonviz-jezus-elete-s-a-vilag-vege-napjaink-szajhagyomanyaban/")</f>
        <v>https://www.szaktars.hu/harmattan/view/magyar-biblia-a-vilag-teremtese-az-ozonviz-jezus-elete-s-a-vilag-vege-napjaink-szajhagyomanyaban/</v>
      </c>
    </row>
    <row r="708" spans="1:6" x14ac:dyDescent="0.25">
      <c r="A708" t="s">
        <v>2043</v>
      </c>
      <c r="B708" t="s">
        <v>2041</v>
      </c>
      <c r="C708" t="s">
        <v>2044</v>
      </c>
      <c r="D708">
        <v>2000</v>
      </c>
      <c r="E708" t="s">
        <v>2024</v>
      </c>
      <c r="F708" t="str">
        <f>HYPERLINK("https://www.szaktars.hu/harmattan/view/mit-latek-almomban-nepi-alomfejtes-es-kiedelemtortenetek/", "https://www.szaktars.hu/harmattan/view/mit-latek-almomban-nepi-alomfejtes-es-kiedelemtortenetek/")</f>
        <v>https://www.szaktars.hu/harmattan/view/mit-latek-almomban-nepi-alomfejtes-es-kiedelemtortenetek/</v>
      </c>
    </row>
    <row r="709" spans="1:6" x14ac:dyDescent="0.25">
      <c r="A709" t="s">
        <v>2045</v>
      </c>
      <c r="B709" t="s">
        <v>2046</v>
      </c>
      <c r="C709" t="s">
        <v>2047</v>
      </c>
      <c r="D709">
        <v>2005</v>
      </c>
      <c r="E709" t="s">
        <v>2024</v>
      </c>
      <c r="F709" t="str">
        <f>HYPERLINK("https://www.szaktars.hu/harmattan/view/a-koznep-babonai-es-balvelekedesei-ellen-valo-predikatziok-nagybajom-1811-1824/", "https://www.szaktars.hu/harmattan/view/a-koznep-babonai-es-balvelekedesei-ellen-valo-predikatziok-nagybajom-1811-1824/")</f>
        <v>https://www.szaktars.hu/harmattan/view/a-koznep-babonai-es-balvelekedesei-ellen-valo-predikatziok-nagybajom-1811-1824/</v>
      </c>
    </row>
    <row r="710" spans="1:6" x14ac:dyDescent="0.25">
      <c r="A710" t="s">
        <v>2048</v>
      </c>
      <c r="C710" t="s">
        <v>2049</v>
      </c>
      <c r="D710">
        <v>2012</v>
      </c>
      <c r="E710" t="s">
        <v>2024</v>
      </c>
      <c r="F710" t="str">
        <f>HYPERLINK("https://www.szaktars.hu/harmattan/view/bum-erdene/", "https://www.szaktars.hu/harmattan/view/bum-erdene/")</f>
        <v>https://www.szaktars.hu/harmattan/view/bum-erdene/</v>
      </c>
    </row>
    <row r="711" spans="1:6" x14ac:dyDescent="0.25">
      <c r="A711" t="s">
        <v>2050</v>
      </c>
      <c r="B711" t="s">
        <v>2051</v>
      </c>
      <c r="C711" t="s">
        <v>2052</v>
      </c>
      <c r="D711">
        <v>2010</v>
      </c>
      <c r="E711" t="s">
        <v>2024</v>
      </c>
      <c r="F711" t="str">
        <f>HYPERLINK("https://www.szaktars.hu/harmattan/view/busojaras-mohacson-a-szellemi-kulturalis-orokseg-nemzeti-jegyzekere-keszult-jelolesi-dokumentacio-szerkesztett-valtozata/", "https://www.szaktars.hu/harmattan/view/busojaras-mohacson-a-szellemi-kulturalis-orokseg-nemzeti-jegyzekere-keszult-jelolesi-dokumentacio-szerkesztett-valtozata/")</f>
        <v>https://www.szaktars.hu/harmattan/view/busojaras-mohacson-a-szellemi-kulturalis-orokseg-nemzeti-jegyzekere-keszult-jelolesi-dokumentacio-szerkesztett-valtozata/</v>
      </c>
    </row>
    <row r="712" spans="1:6" x14ac:dyDescent="0.25">
      <c r="A712" t="s">
        <v>2053</v>
      </c>
      <c r="C712" t="s">
        <v>2054</v>
      </c>
      <c r="D712">
        <v>2012</v>
      </c>
      <c r="E712" t="s">
        <v>2024</v>
      </c>
      <c r="F712" t="str">
        <f>HYPERLINK("https://www.szaktars.hu/harmattan/view/dorvizsi-enek-az-udmurt-hosokrol/", "https://www.szaktars.hu/harmattan/view/dorvizsi-enek-az-udmurt-hosokrol/")</f>
        <v>https://www.szaktars.hu/harmattan/view/dorvizsi-enek-az-udmurt-hosokrol/</v>
      </c>
    </row>
    <row r="713" spans="1:6" x14ac:dyDescent="0.25">
      <c r="A713" t="s">
        <v>2055</v>
      </c>
      <c r="B713" t="s">
        <v>2056</v>
      </c>
      <c r="C713" t="s">
        <v>2057</v>
      </c>
      <c r="D713">
        <v>2001</v>
      </c>
      <c r="E713" t="s">
        <v>2024</v>
      </c>
      <c r="F713" t="str">
        <f>HYPERLINK("https://www.szaktars.hu/harmattan/view/szolohegyi-szabalyzatok-es-hegykozsegi-torvenyek-a-17-19-szazadbol/", "https://www.szaktars.hu/harmattan/view/szolohegyi-szabalyzatok-es-hegykozsegi-torvenyek-a-17-19-szazadbol/")</f>
        <v>https://www.szaktars.hu/harmattan/view/szolohegyi-szabalyzatok-es-hegykozsegi-torvenyek-a-17-19-szazadbol/</v>
      </c>
    </row>
    <row r="714" spans="1:6" x14ac:dyDescent="0.25">
      <c r="A714" t="s">
        <v>2058</v>
      </c>
      <c r="B714" t="s">
        <v>2059</v>
      </c>
      <c r="C714" t="s">
        <v>2060</v>
      </c>
      <c r="D714">
        <v>2006</v>
      </c>
      <c r="E714" t="s">
        <v>2024</v>
      </c>
      <c r="F714" t="str">
        <f>HYPERLINK("https://www.szaktars.hu/harmattan/view/hegytorvenyek-es-szolotelepito-levelek-somogy-varmegyebol-1732-1847/", "https://www.szaktars.hu/harmattan/view/hegytorvenyek-es-szolotelepito-levelek-somogy-varmegyebol-1732-1847/")</f>
        <v>https://www.szaktars.hu/harmattan/view/hegytorvenyek-es-szolotelepito-levelek-somogy-varmegyebol-1732-1847/</v>
      </c>
    </row>
    <row r="715" spans="1:6" x14ac:dyDescent="0.25">
      <c r="A715" t="s">
        <v>2061</v>
      </c>
      <c r="B715" t="s">
        <v>2056</v>
      </c>
      <c r="C715" t="s">
        <v>2062</v>
      </c>
      <c r="D715">
        <v>2004</v>
      </c>
      <c r="E715" t="s">
        <v>2024</v>
      </c>
      <c r="F715" t="str">
        <f>HYPERLINK("https://www.szaktars.hu/harmattan/view/hegytorvenyek-es-szolotelepito-levelek-gyor-es-sopron-varmegyekbol-1551-1843/", "https://www.szaktars.hu/harmattan/view/hegytorvenyek-es-szolotelepito-levelek-gyor-es-sopron-varmegyekbol-1551-1843/")</f>
        <v>https://www.szaktars.hu/harmattan/view/hegytorvenyek-es-szolotelepito-levelek-gyor-es-sopron-varmegyekbol-1551-1843/</v>
      </c>
    </row>
    <row r="716" spans="1:6" x14ac:dyDescent="0.25">
      <c r="A716" t="s">
        <v>2063</v>
      </c>
      <c r="B716" t="s">
        <v>2056</v>
      </c>
      <c r="C716" t="s">
        <v>2064</v>
      </c>
      <c r="D716">
        <v>2002</v>
      </c>
      <c r="E716" t="s">
        <v>2024</v>
      </c>
      <c r="F716" t="str">
        <f>HYPERLINK("https://www.szaktars.hu/harmattan/view/hegytorvenyek-forraskozleseinek-gyujtemenye-1470-1846/", "https://www.szaktars.hu/harmattan/view/hegytorvenyek-forraskozleseinek-gyujtemenye-1470-1846/")</f>
        <v>https://www.szaktars.hu/harmattan/view/hegytorvenyek-forraskozleseinek-gyujtemenye-1470-1846/</v>
      </c>
    </row>
    <row r="717" spans="1:6" x14ac:dyDescent="0.25">
      <c r="A717" t="s">
        <v>2065</v>
      </c>
      <c r="B717" t="s">
        <v>2056</v>
      </c>
      <c r="C717" t="s">
        <v>2066</v>
      </c>
      <c r="D717">
        <v>2006</v>
      </c>
      <c r="E717" t="s">
        <v>2024</v>
      </c>
      <c r="F717" t="str">
        <f>HYPERLINK("https://www.szaktars.hu/harmattan/view/hegytorvenyek-es-szolotelepito-levelek-veszprem-varmegyebol-1626-1828/", "https://www.szaktars.hu/harmattan/view/hegytorvenyek-es-szolotelepito-levelek-veszprem-varmegyebol-1626-1828/")</f>
        <v>https://www.szaktars.hu/harmattan/view/hegytorvenyek-es-szolotelepito-levelek-veszprem-varmegyebol-1626-1828/</v>
      </c>
    </row>
    <row r="718" spans="1:6" x14ac:dyDescent="0.25">
      <c r="A718" t="s">
        <v>2067</v>
      </c>
      <c r="B718" t="s">
        <v>2068</v>
      </c>
      <c r="C718" t="s">
        <v>2069</v>
      </c>
      <c r="D718">
        <v>2006</v>
      </c>
      <c r="E718" t="s">
        <v>2024</v>
      </c>
      <c r="F718" t="str">
        <f>HYPERLINK("https://www.szaktars.hu/harmattan/view/teremtes-szovegfolklorisztikai-tanulmanyok-nagy-ilona-tiszteletere/", "https://www.szaktars.hu/harmattan/view/teremtes-szovegfolklorisztikai-tanulmanyok-nagy-ilona-tiszteletere/")</f>
        <v>https://www.szaktars.hu/harmattan/view/teremtes-szovegfolklorisztikai-tanulmanyok-nagy-ilona-tiszteletere/</v>
      </c>
    </row>
    <row r="719" spans="1:6" x14ac:dyDescent="0.25">
      <c r="A719" t="s">
        <v>2070</v>
      </c>
      <c r="B719" t="s">
        <v>2071</v>
      </c>
      <c r="C719" t="s">
        <v>2072</v>
      </c>
      <c r="D719">
        <v>2013</v>
      </c>
      <c r="E719" t="s">
        <v>2024</v>
      </c>
      <c r="F719" t="str">
        <f>HYPERLINK("https://www.szaktars.hu/harmattan/view/kolozsvartol-pecsig-a-yaoitol-a-juhaszatig-neprajzi-kulturalis-antropologiai-tanulmanyok-ket-doktori-iskolabol/", "https://www.szaktars.hu/harmattan/view/kolozsvartol-pecsig-a-yaoitol-a-juhaszatig-neprajzi-kulturalis-antropologiai-tanulmanyok-ket-doktori-iskolabol/")</f>
        <v>https://www.szaktars.hu/harmattan/view/kolozsvartol-pecsig-a-yaoitol-a-juhaszatig-neprajzi-kulturalis-antropologiai-tanulmanyok-ket-doktori-iskolabol/</v>
      </c>
    </row>
    <row r="720" spans="1:6" x14ac:dyDescent="0.25">
      <c r="A720" t="s">
        <v>2073</v>
      </c>
      <c r="B720" t="s">
        <v>2074</v>
      </c>
      <c r="C720" t="s">
        <v>2075</v>
      </c>
      <c r="D720">
        <v>2005</v>
      </c>
      <c r="E720" t="s">
        <v>2024</v>
      </c>
      <c r="F720" t="str">
        <f>HYPERLINK("https://www.szaktars.hu/harmattan/view/a-hetfeju-zarvas-kaukazusi-mitoszok-nepmesek-mondak/", "https://www.szaktars.hu/harmattan/view/a-hetfeju-zarvas-kaukazusi-mitoszok-nepmesek-mondak/")</f>
        <v>https://www.szaktars.hu/harmattan/view/a-hetfeju-zarvas-kaukazusi-mitoszok-nepmesek-mondak/</v>
      </c>
    </row>
    <row r="721" spans="1:6" x14ac:dyDescent="0.25">
      <c r="A721" t="s">
        <v>2076</v>
      </c>
      <c r="B721" t="s">
        <v>2074</v>
      </c>
      <c r="C721" t="s">
        <v>2077</v>
      </c>
      <c r="D721">
        <v>2002</v>
      </c>
      <c r="E721" t="s">
        <v>2024</v>
      </c>
      <c r="F721" t="str">
        <f>HYPERLINK("https://www.szaktars.hu/harmattan/view/a-vilag-eposzai-dede-korkut-konyve/", "https://www.szaktars.hu/harmattan/view/a-vilag-eposzai-dede-korkut-konyve/")</f>
        <v>https://www.szaktars.hu/harmattan/view/a-vilag-eposzai-dede-korkut-konyve/</v>
      </c>
    </row>
    <row r="722" spans="1:6" x14ac:dyDescent="0.25">
      <c r="A722" t="s">
        <v>2078</v>
      </c>
      <c r="B722" t="s">
        <v>2074</v>
      </c>
      <c r="C722" t="s">
        <v>2079</v>
      </c>
      <c r="D722">
        <v>2005</v>
      </c>
      <c r="E722" t="s">
        <v>2024</v>
      </c>
      <c r="F722" t="str">
        <f>HYPERLINK("https://www.szaktars.hu/harmattan/view/ezen-vofi-konyv-a-karsai-mihalye-vofelykonyv-szekrol/", "https://www.szaktars.hu/harmattan/view/ezen-vofi-konyv-a-karsai-mihalye-vofelykonyv-szekrol/")</f>
        <v>https://www.szaktars.hu/harmattan/view/ezen-vofi-konyv-a-karsai-mihalye-vofelykonyv-szekrol/</v>
      </c>
    </row>
    <row r="723" spans="1:6" x14ac:dyDescent="0.25">
      <c r="A723" t="s">
        <v>2080</v>
      </c>
      <c r="B723" t="s">
        <v>2074</v>
      </c>
      <c r="C723" t="s">
        <v>2081</v>
      </c>
      <c r="D723">
        <v>2009</v>
      </c>
      <c r="E723" t="s">
        <v>2024</v>
      </c>
      <c r="F723" t="str">
        <f>HYPERLINK("https://www.szaktars.hu/harmattan/view/koroglu/", "https://www.szaktars.hu/harmattan/view/koroglu/")</f>
        <v>https://www.szaktars.hu/harmattan/view/koroglu/</v>
      </c>
    </row>
    <row r="724" spans="1:6" x14ac:dyDescent="0.25">
      <c r="A724" t="s">
        <v>2082</v>
      </c>
      <c r="B724" t="s">
        <v>2074</v>
      </c>
      <c r="C724" t="s">
        <v>2083</v>
      </c>
      <c r="D724">
        <v>2009</v>
      </c>
      <c r="E724" t="s">
        <v>2024</v>
      </c>
      <c r="F724" t="str">
        <f>HYPERLINK("https://www.szaktars.hu/harmattan/view/nartok-kaukazusi-hosi-mondak/", "https://www.szaktars.hu/harmattan/view/nartok-kaukazusi-hosi-mondak/")</f>
        <v>https://www.szaktars.hu/harmattan/view/nartok-kaukazusi-hosi-mondak/</v>
      </c>
    </row>
    <row r="725" spans="1:6" x14ac:dyDescent="0.25">
      <c r="A725" t="s">
        <v>2084</v>
      </c>
      <c r="B725" t="s">
        <v>2085</v>
      </c>
      <c r="C725" t="s">
        <v>2086</v>
      </c>
      <c r="D725">
        <v>2003</v>
      </c>
      <c r="E725" t="s">
        <v>2024</v>
      </c>
      <c r="F725" t="str">
        <f>HYPERLINK("https://www.szaktars.hu/harmattan/view/boszorkany-a-forgoszelken-szank-es-moricgat-nephite-nepi-gyogyaszata/", "https://www.szaktars.hu/harmattan/view/boszorkany-a-forgoszelken-szank-es-moricgat-nephite-nepi-gyogyaszata/")</f>
        <v>https://www.szaktars.hu/harmattan/view/boszorkany-a-forgoszelken-szank-es-moricgat-nephite-nepi-gyogyaszata/</v>
      </c>
    </row>
    <row r="726" spans="1:6" x14ac:dyDescent="0.25">
      <c r="A726" t="s">
        <v>2087</v>
      </c>
      <c r="B726" t="s">
        <v>2088</v>
      </c>
      <c r="C726" t="s">
        <v>2089</v>
      </c>
      <c r="D726">
        <v>2008</v>
      </c>
      <c r="E726" t="s">
        <v>2024</v>
      </c>
      <c r="F726" t="str">
        <f>HYPERLINK("https://www.szaktars.hu/harmattan/view/torteneti-forras-neprajzi-olvasat-gazdasag-tarsadalom-es-egyhaztorteneti-forrasok-neprajzi-ertelmezesenek-lehetosegei/", "https://www.szaktars.hu/harmattan/view/torteneti-forras-neprajzi-olvasat-gazdasag-tarsadalom-es-egyhaztorteneti-forrasok-neprajzi-ertelmezesenek-lehetosegei/")</f>
        <v>https://www.szaktars.hu/harmattan/view/torteneti-forras-neprajzi-olvasat-gazdasag-tarsadalom-es-egyhaztorteneti-forrasok-neprajzi-ertelmezesenek-lehetosegei/</v>
      </c>
    </row>
    <row r="727" spans="1:6" x14ac:dyDescent="0.25">
      <c r="A727" t="s">
        <v>2090</v>
      </c>
      <c r="B727" t="s">
        <v>2091</v>
      </c>
      <c r="C727" t="s">
        <v>2092</v>
      </c>
      <c r="D727">
        <v>2016</v>
      </c>
      <c r="E727" t="s">
        <v>2024</v>
      </c>
      <c r="F727" t="str">
        <f>HYPERLINK("https://www.szaktars.hu/harmattan/view/hiedelemszovegek-szekelyfoldrol/", "https://www.szaktars.hu/harmattan/view/hiedelemszovegek-szekelyfoldrol/")</f>
        <v>https://www.szaktars.hu/harmattan/view/hiedelemszovegek-szekelyfoldrol/</v>
      </c>
    </row>
    <row r="728" spans="1:6" x14ac:dyDescent="0.25">
      <c r="A728" t="s">
        <v>2093</v>
      </c>
      <c r="B728" t="s">
        <v>2094</v>
      </c>
      <c r="C728" t="s">
        <v>2095</v>
      </c>
      <c r="D728">
        <v>2006</v>
      </c>
      <c r="E728" t="s">
        <v>2024</v>
      </c>
      <c r="F728" t="str">
        <f>HYPERLINK("https://www.szaktars.hu/harmattan/view/erdos-lajos-mesei-vilaga-es-mesei-nepmesek-tyukodrol/", "https://www.szaktars.hu/harmattan/view/erdos-lajos-mesei-vilaga-es-mesei-nepmesek-tyukodrol/")</f>
        <v>https://www.szaktars.hu/harmattan/view/erdos-lajos-mesei-vilaga-es-mesei-nepmesek-tyukodrol/</v>
      </c>
    </row>
    <row r="729" spans="1:6" x14ac:dyDescent="0.25">
      <c r="A729" t="s">
        <v>2096</v>
      </c>
      <c r="B729" t="s">
        <v>2097</v>
      </c>
      <c r="C729" t="s">
        <v>2098</v>
      </c>
      <c r="D729">
        <v>2014</v>
      </c>
      <c r="E729" t="s">
        <v>2024</v>
      </c>
      <c r="F729" t="str">
        <f>HYPERLINK("https://www.szaktars.hu/harmattan/view/tudosok-kutatok-gyujtok-nehany-fejezet-a-magyar-neprajztudomany-es-muzeologia-tortenetebol/", "https://www.szaktars.hu/harmattan/view/tudosok-kutatok-gyujtok-nehany-fejezet-a-magyar-neprajztudomany-es-muzeologia-tortenetebol/")</f>
        <v>https://www.szaktars.hu/harmattan/view/tudosok-kutatok-gyujtok-nehany-fejezet-a-magyar-neprajztudomany-es-muzeologia-tortenetebol/</v>
      </c>
    </row>
    <row r="730" spans="1:6" x14ac:dyDescent="0.25">
      <c r="A730" t="s">
        <v>2099</v>
      </c>
      <c r="B730" t="s">
        <v>2100</v>
      </c>
      <c r="C730" t="s">
        <v>2101</v>
      </c>
      <c r="D730">
        <v>2006</v>
      </c>
      <c r="E730" t="s">
        <v>2024</v>
      </c>
      <c r="F730" t="str">
        <f>HYPERLINK("https://www.szaktars.hu/harmattan/view/hiedelem-es-hagyomany/", "https://www.szaktars.hu/harmattan/view/hiedelem-es-hagyomany/")</f>
        <v>https://www.szaktars.hu/harmattan/view/hiedelem-es-hagyomany/</v>
      </c>
    </row>
    <row r="731" spans="1:6" x14ac:dyDescent="0.25">
      <c r="A731" t="s">
        <v>2102</v>
      </c>
      <c r="B731" t="s">
        <v>2103</v>
      </c>
      <c r="C731" t="s">
        <v>2104</v>
      </c>
      <c r="D731">
        <v>2013</v>
      </c>
      <c r="E731" t="s">
        <v>2024</v>
      </c>
      <c r="F731" t="str">
        <f>HYPERLINK("https://www.szaktars.hu/harmattan/view/vallas-magyarfaluban-neprajzi-vizsgalat/", "https://www.szaktars.hu/harmattan/view/vallas-magyarfaluban-neprajzi-vizsgalat/")</f>
        <v>https://www.szaktars.hu/harmattan/view/vallas-magyarfaluban-neprajzi-vizsgalat/</v>
      </c>
    </row>
    <row r="732" spans="1:6" x14ac:dyDescent="0.25">
      <c r="A732" t="s">
        <v>2105</v>
      </c>
      <c r="B732" t="s">
        <v>2106</v>
      </c>
      <c r="C732" t="s">
        <v>2107</v>
      </c>
      <c r="D732">
        <v>2009</v>
      </c>
      <c r="E732" t="s">
        <v>2024</v>
      </c>
      <c r="F732" t="str">
        <f>HYPERLINK("https://www.szaktars.hu/harmattan/view/tiszta-sorok-tanulmanyok-a-tisztasagrol-es-a-tisztalkodasrol/", "https://www.szaktars.hu/harmattan/view/tiszta-sorok-tanulmanyok-a-tisztasagrol-es-a-tisztalkodasrol/")</f>
        <v>https://www.szaktars.hu/harmattan/view/tiszta-sorok-tanulmanyok-a-tisztasagrol-es-a-tisztalkodasrol/</v>
      </c>
    </row>
    <row r="733" spans="1:6" x14ac:dyDescent="0.25">
      <c r="A733" t="s">
        <v>2108</v>
      </c>
      <c r="B733" t="s">
        <v>2109</v>
      </c>
      <c r="C733" t="s">
        <v>2110</v>
      </c>
      <c r="D733">
        <v>2007</v>
      </c>
      <c r="E733" t="s">
        <v>2024</v>
      </c>
      <c r="F733" t="str">
        <f>HYPERLINK("https://www.szaktars.hu/harmattan/view/melysegek-konyve-orosz-vallasos-nepenekek/", "https://www.szaktars.hu/harmattan/view/melysegek-konyve-orosz-vallasos-nepenekek/")</f>
        <v>https://www.szaktars.hu/harmattan/view/melysegek-konyve-orosz-vallasos-nepenekek/</v>
      </c>
    </row>
    <row r="734" spans="1:6" x14ac:dyDescent="0.25">
      <c r="A734" t="s">
        <v>2111</v>
      </c>
      <c r="B734" t="s">
        <v>2112</v>
      </c>
      <c r="C734" t="s">
        <v>2113</v>
      </c>
      <c r="D734">
        <v>2015</v>
      </c>
      <c r="E734" t="s">
        <v>2024</v>
      </c>
      <c r="F734" t="str">
        <f>HYPERLINK("https://www.szaktars.hu/harmattan/view/a-magyar-paraszti-jarmukultura-documentatio-ethnographica-31/", "https://www.szaktars.hu/harmattan/view/a-magyar-paraszti-jarmukultura-documentatio-ethnographica-31/")</f>
        <v>https://www.szaktars.hu/harmattan/view/a-magyar-paraszti-jarmukultura-documentatio-ethnographica-31/</v>
      </c>
    </row>
    <row r="735" spans="1:6" x14ac:dyDescent="0.25">
      <c r="A735" t="s">
        <v>2114</v>
      </c>
      <c r="B735" t="s">
        <v>2115</v>
      </c>
      <c r="C735" t="s">
        <v>2116</v>
      </c>
      <c r="D735">
        <v>2009</v>
      </c>
      <c r="E735" t="s">
        <v>2024</v>
      </c>
      <c r="F735" t="str">
        <f>HYPERLINK("https://www.szaktars.hu/harmattan/view/almok-es-latomasok-a-20-21-szazadbol-szoveggyuj-temeny-i-kotet/", "https://www.szaktars.hu/harmattan/view/almok-es-latomasok-a-20-21-szazadbol-szoveggyuj-temeny-i-kotet/")</f>
        <v>https://www.szaktars.hu/harmattan/view/almok-es-latomasok-a-20-21-szazadbol-szoveggyuj-temeny-i-kotet/</v>
      </c>
    </row>
    <row r="736" spans="1:6" x14ac:dyDescent="0.25">
      <c r="A736" t="s">
        <v>2117</v>
      </c>
      <c r="B736" t="s">
        <v>2118</v>
      </c>
      <c r="C736" t="s">
        <v>2119</v>
      </c>
      <c r="D736">
        <v>2006</v>
      </c>
      <c r="E736" t="s">
        <v>2024</v>
      </c>
      <c r="F736" t="str">
        <f>HYPERLINK("https://www.szaktars.hu/harmattan/view/beteljesitem-isten-akaratjat-a-leszpedi-szent-leany-latomasai/", "https://www.szaktars.hu/harmattan/view/beteljesitem-isten-akaratjat-a-leszpedi-szent-leany-latomasai/")</f>
        <v>https://www.szaktars.hu/harmattan/view/beteljesitem-isten-akaratjat-a-leszpedi-szent-leany-latomasai/</v>
      </c>
    </row>
    <row r="737" spans="1:6" x14ac:dyDescent="0.25">
      <c r="A737" t="s">
        <v>2120</v>
      </c>
      <c r="B737" t="s">
        <v>2121</v>
      </c>
      <c r="C737" t="s">
        <v>2122</v>
      </c>
      <c r="D737">
        <v>2010</v>
      </c>
      <c r="E737" t="s">
        <v>2024</v>
      </c>
      <c r="F737" t="str">
        <f>HYPERLINK("https://www.szaktars.hu/harmattan/view/a-paraszti-gazdalkodas-es-tarsadalom-atalakulasa/", "https://www.szaktars.hu/harmattan/view/a-paraszti-gazdalkodas-es-tarsadalom-atalakulasa/")</f>
        <v>https://www.szaktars.hu/harmattan/view/a-paraszti-gazdalkodas-es-tarsadalom-atalakulasa/</v>
      </c>
    </row>
    <row r="738" spans="1:6" x14ac:dyDescent="0.25">
      <c r="A738" t="s">
        <v>2123</v>
      </c>
      <c r="B738" t="s">
        <v>2124</v>
      </c>
      <c r="C738" t="s">
        <v>2125</v>
      </c>
      <c r="D738">
        <v>2009</v>
      </c>
      <c r="E738" t="s">
        <v>2024</v>
      </c>
      <c r="F738" t="str">
        <f>HYPERLINK("https://www.szaktars.hu/harmattan/view/ket-karpataljai-parasztprofeta-szent-iratai/", "https://www.szaktars.hu/harmattan/view/ket-karpataljai-parasztprofeta-szent-iratai/")</f>
        <v>https://www.szaktars.hu/harmattan/view/ket-karpataljai-parasztprofeta-szent-iratai/</v>
      </c>
    </row>
    <row r="739" spans="1:6" x14ac:dyDescent="0.25">
      <c r="A739" t="s">
        <v>2126</v>
      </c>
      <c r="B739" t="s">
        <v>2127</v>
      </c>
      <c r="C739" t="s">
        <v>2128</v>
      </c>
      <c r="D739">
        <v>2006</v>
      </c>
      <c r="E739" t="s">
        <v>2024</v>
      </c>
      <c r="F739" t="str">
        <f>HYPERLINK("https://www.szaktars.hu/harmattan/view/aldozatok-a-masodik-vilaghaborus-hadifogolytaborok-es-a-sztalini-lagerek-folklorjarol/", "https://www.szaktars.hu/harmattan/view/aldozatok-a-masodik-vilaghaborus-hadifogolytaborok-es-a-sztalini-lagerek-folklorjarol/")</f>
        <v>https://www.szaktars.hu/harmattan/view/aldozatok-a-masodik-vilaghaborus-hadifogolytaborok-es-a-sztalini-lagerek-folklorjarol/</v>
      </c>
    </row>
    <row r="740" spans="1:6" x14ac:dyDescent="0.25">
      <c r="A740" t="s">
        <v>2129</v>
      </c>
      <c r="B740" t="s">
        <v>2130</v>
      </c>
      <c r="C740" t="s">
        <v>2131</v>
      </c>
      <c r="D740">
        <v>2009</v>
      </c>
      <c r="E740" t="s">
        <v>2024</v>
      </c>
      <c r="F740" t="str">
        <f>HYPERLINK("https://www.szaktars.hu/harmattan/view/a-kincskereses-400-eve-magyarorszagon-fontes-ethnologiae-hungaricae-8/", "https://www.szaktars.hu/harmattan/view/a-kincskereses-400-eve-magyarorszagon-fontes-ethnologiae-hungaricae-8/")</f>
        <v>https://www.szaktars.hu/harmattan/view/a-kincskereses-400-eve-magyarorszagon-fontes-ethnologiae-hungaricae-8/</v>
      </c>
    </row>
    <row r="741" spans="1:6" x14ac:dyDescent="0.25">
      <c r="A741" t="s">
        <v>2132</v>
      </c>
      <c r="B741" t="s">
        <v>2133</v>
      </c>
      <c r="C741" t="s">
        <v>2134</v>
      </c>
      <c r="D741">
        <v>2010</v>
      </c>
      <c r="E741" t="s">
        <v>2024</v>
      </c>
      <c r="F741" t="str">
        <f>HYPERLINK("https://www.szaktars.hu/harmattan/view/arpad-pajzsa-a-magyar-honfoglalas-hagyomany-megszerkesztese-es-nepszerusitese-a-xviii-xix-szazadban/", "https://www.szaktars.hu/harmattan/view/arpad-pajzsa-a-magyar-honfoglalas-hagyomany-megszerkesztese-es-nepszerusitese-a-xviii-xix-szazadban/")</f>
        <v>https://www.szaktars.hu/harmattan/view/arpad-pajzsa-a-magyar-honfoglalas-hagyomany-megszerkesztese-es-nepszerusitese-a-xviii-xix-szazadban/</v>
      </c>
    </row>
    <row r="742" spans="1:6" x14ac:dyDescent="0.25">
      <c r="A742" t="s">
        <v>2135</v>
      </c>
      <c r="B742" t="s">
        <v>2136</v>
      </c>
      <c r="C742" t="s">
        <v>2137</v>
      </c>
      <c r="D742">
        <v>2016</v>
      </c>
      <c r="E742" t="s">
        <v>2024</v>
      </c>
      <c r="F742" t="str">
        <f>HYPERLINK("https://www.szaktars.hu/harmattan/view/felvilagosodas-es-babonasag-erdelyi-nephiedelemgyujtes-1789-90ben/", "https://www.szaktars.hu/harmattan/view/felvilagosodas-es-babonasag-erdelyi-nephiedelemgyujtes-1789-90ben/")</f>
        <v>https://www.szaktars.hu/harmattan/view/felvilagosodas-es-babonasag-erdelyi-nephiedelemgyujtes-1789-90ben/</v>
      </c>
    </row>
    <row r="743" spans="1:6" x14ac:dyDescent="0.25">
      <c r="A743" t="s">
        <v>2138</v>
      </c>
      <c r="B743" t="s">
        <v>2139</v>
      </c>
      <c r="C743" t="s">
        <v>2140</v>
      </c>
      <c r="D743">
        <v>2009</v>
      </c>
      <c r="E743" t="s">
        <v>2024</v>
      </c>
      <c r="F743" t="str">
        <f>HYPERLINK("https://www.szaktars.hu/harmattan/view/a-csiksomlyoi-punkosdi-bucsujaras-tortenet-eredet-hagyomany/", "https://www.szaktars.hu/harmattan/view/a-csiksomlyoi-punkosdi-bucsujaras-tortenet-eredet-hagyomany/")</f>
        <v>https://www.szaktars.hu/harmattan/view/a-csiksomlyoi-punkosdi-bucsujaras-tortenet-eredet-hagyomany/</v>
      </c>
    </row>
    <row r="744" spans="1:6" x14ac:dyDescent="0.25">
      <c r="A744" t="s">
        <v>2141</v>
      </c>
      <c r="C744" t="s">
        <v>2142</v>
      </c>
      <c r="D744">
        <v>2010</v>
      </c>
      <c r="E744" t="s">
        <v>2024</v>
      </c>
      <c r="F744" t="str">
        <f>HYPERLINK("https://www.szaktars.hu/harmattan/view/oguz-kan-a-vilag-eposzai-4/", "https://www.szaktars.hu/harmattan/view/oguz-kan-a-vilag-eposzai-4/")</f>
        <v>https://www.szaktars.hu/harmattan/view/oguz-kan-a-vilag-eposzai-4/</v>
      </c>
    </row>
    <row r="745" spans="1:6" x14ac:dyDescent="0.25">
      <c r="A745" t="s">
        <v>2143</v>
      </c>
      <c r="B745" t="s">
        <v>2144</v>
      </c>
      <c r="C745" t="s">
        <v>2145</v>
      </c>
      <c r="D745">
        <v>2010</v>
      </c>
      <c r="E745" t="s">
        <v>2024</v>
      </c>
      <c r="F745" t="str">
        <f>HYPERLINK("https://www.szaktars.hu/harmattan/view/osztjak-hosenekek/", "https://www.szaktars.hu/harmattan/view/osztjak-hosenekek/")</f>
        <v>https://www.szaktars.hu/harmattan/view/osztjak-hosenekek/</v>
      </c>
    </row>
    <row r="746" spans="1:6" x14ac:dyDescent="0.25">
      <c r="A746" t="s">
        <v>2146</v>
      </c>
      <c r="B746" t="s">
        <v>2147</v>
      </c>
      <c r="C746" t="s">
        <v>2148</v>
      </c>
      <c r="D746">
        <v>2003</v>
      </c>
      <c r="E746" t="s">
        <v>2024</v>
      </c>
      <c r="F746" t="str">
        <f>HYPERLINK("https://www.szaktars.hu/harmattan/view/folyamatok-es-fordulopontok-tanulmanyok-andrasfalvy-bertalan-tiszteletere/", "https://www.szaktars.hu/harmattan/view/folyamatok-es-fordulopontok-tanulmanyok-andrasfalvy-bertalan-tiszteletere/")</f>
        <v>https://www.szaktars.hu/harmattan/view/folyamatok-es-fordulopontok-tanulmanyok-andrasfalvy-bertalan-tiszteletere/</v>
      </c>
    </row>
    <row r="747" spans="1:6" x14ac:dyDescent="0.25">
      <c r="A747" t="s">
        <v>2149</v>
      </c>
      <c r="B747" t="s">
        <v>2147</v>
      </c>
      <c r="C747" t="s">
        <v>2150</v>
      </c>
      <c r="D747">
        <v>2002</v>
      </c>
      <c r="E747" t="s">
        <v>2024</v>
      </c>
      <c r="F747" t="str">
        <f>HYPERLINK("https://www.szaktars.hu/harmattan/view/kozosseg-es-identitas-studia-ethnologica-hungarica-3/", "https://www.szaktars.hu/harmattan/view/kozosseg-es-identitas-studia-ethnologica-hungarica-3/")</f>
        <v>https://www.szaktars.hu/harmattan/view/kozosseg-es-identitas-studia-ethnologica-hungarica-3/</v>
      </c>
    </row>
    <row r="748" spans="1:6" x14ac:dyDescent="0.25">
      <c r="A748" t="s">
        <v>2151</v>
      </c>
      <c r="B748" t="s">
        <v>2147</v>
      </c>
      <c r="C748" t="s">
        <v>2152</v>
      </c>
      <c r="D748">
        <v>2004</v>
      </c>
      <c r="E748" t="s">
        <v>2024</v>
      </c>
      <c r="F748" t="str">
        <f>HYPERLINK("https://www.szaktars.hu/harmattan/view/mult-es-jelen/", "https://www.szaktars.hu/harmattan/view/mult-es-jelen/")</f>
        <v>https://www.szaktars.hu/harmattan/view/mult-es-jelen/</v>
      </c>
    </row>
    <row r="749" spans="1:6" x14ac:dyDescent="0.25">
      <c r="A749" t="s">
        <v>2153</v>
      </c>
      <c r="B749" t="s">
        <v>2147</v>
      </c>
      <c r="C749" t="s">
        <v>2154</v>
      </c>
      <c r="D749">
        <v>2004</v>
      </c>
      <c r="E749" t="s">
        <v>2024</v>
      </c>
      <c r="F749" t="str">
        <f>HYPERLINK("https://www.szaktars.hu/harmattan/view/ritus-es-unnep-az-ezredfordulon-studia-ethnologica-hungarica-vi/", "https://www.szaktars.hu/harmattan/view/ritus-es-unnep-az-ezredfordulon-studia-ethnologica-hungarica-vi/")</f>
        <v>https://www.szaktars.hu/harmattan/view/ritus-es-unnep-az-ezredfordulon-studia-ethnologica-hungarica-vi/</v>
      </c>
    </row>
    <row r="750" spans="1:6" x14ac:dyDescent="0.25">
      <c r="A750" t="s">
        <v>2155</v>
      </c>
      <c r="B750" t="s">
        <v>2147</v>
      </c>
      <c r="C750" t="s">
        <v>2156</v>
      </c>
      <c r="D750">
        <v>2012</v>
      </c>
      <c r="E750" t="s">
        <v>2024</v>
      </c>
      <c r="F750" t="str">
        <f>HYPERLINK("https://www.szaktars.hu/harmattan/view/szent-helyek-unnepek-szent-szovegek-tanulmanyok-a-romaniai-magyarsag-vallasi-eletebol/", "https://www.szaktars.hu/harmattan/view/szent-helyek-unnepek-szent-szovegek-tanulmanyok-a-romaniai-magyarsag-vallasi-eletebol/")</f>
        <v>https://www.szaktars.hu/harmattan/view/szent-helyek-unnepek-szent-szovegek-tanulmanyok-a-romaniai-magyarsag-vallasi-eletebol/</v>
      </c>
    </row>
    <row r="751" spans="1:6" x14ac:dyDescent="0.25">
      <c r="A751" t="s">
        <v>2157</v>
      </c>
      <c r="B751" t="s">
        <v>2147</v>
      </c>
      <c r="C751" t="s">
        <v>2158</v>
      </c>
      <c r="D751">
        <v>2008</v>
      </c>
      <c r="E751" t="s">
        <v>2024</v>
      </c>
      <c r="F751" t="str">
        <f>HYPERLINK("https://www.szaktars.hu/harmattan/view/vannak-csodak-csak-eszre-kell-venni-helyi-vallas-nephit-es-vallasos-folklor-gyimesben-1/", "https://www.szaktars.hu/harmattan/view/vannak-csodak-csak-eszre-kell-venni-helyi-vallas-nephit-es-vallasos-folklor-gyimesben-1/")</f>
        <v>https://www.szaktars.hu/harmattan/view/vannak-csodak-csak-eszre-kell-venni-helyi-vallas-nephit-es-vallasos-folklor-gyimesben-1/</v>
      </c>
    </row>
    <row r="752" spans="1:6" x14ac:dyDescent="0.25">
      <c r="A752" t="s">
        <v>2159</v>
      </c>
      <c r="B752" t="s">
        <v>2160</v>
      </c>
      <c r="C752" t="s">
        <v>2161</v>
      </c>
      <c r="D752">
        <v>2016</v>
      </c>
      <c r="E752" t="s">
        <v>2024</v>
      </c>
      <c r="F752" t="str">
        <f>HYPERLINK("https://www.szaktars.hu/harmattan/view/elindula-boldogsagos-szep-szuz-maria/", "https://www.szaktars.hu/harmattan/view/elindula-boldogsagos-szep-szuz-maria/")</f>
        <v>https://www.szaktars.hu/harmattan/view/elindula-boldogsagos-szep-szuz-maria/</v>
      </c>
    </row>
    <row r="753" spans="1:6" x14ac:dyDescent="0.25">
      <c r="A753" t="s">
        <v>2162</v>
      </c>
      <c r="B753" t="s">
        <v>2160</v>
      </c>
      <c r="C753" t="s">
        <v>2163</v>
      </c>
      <c r="D753">
        <v>2002</v>
      </c>
      <c r="E753" t="s">
        <v>2024</v>
      </c>
      <c r="F753" t="str">
        <f>HYPERLINK("https://www.szaktars.hu/harmattan/view/magyar-nephit-kozep-es-kelet-europa-hataran-valogatott-tanulmanyok-i/", "https://www.szaktars.hu/harmattan/view/magyar-nephit-kozep-es-kelet-europa-hataran-valogatott-tanulmanyok-i/")</f>
        <v>https://www.szaktars.hu/harmattan/view/magyar-nephit-kozep-es-kelet-europa-hataran-valogatott-tanulmanyok-i/</v>
      </c>
    </row>
    <row r="754" spans="1:6" x14ac:dyDescent="0.25">
      <c r="A754" t="s">
        <v>2164</v>
      </c>
      <c r="B754" t="s">
        <v>2160</v>
      </c>
      <c r="C754" t="s">
        <v>2165</v>
      </c>
      <c r="D754">
        <v>2008</v>
      </c>
      <c r="E754" t="s">
        <v>2024</v>
      </c>
      <c r="F754" t="str">
        <f>HYPERLINK("https://www.szaktars.hu/harmattan/view/targy-jel-jelentes/", "https://www.szaktars.hu/harmattan/view/targy-jel-jelentes/")</f>
        <v>https://www.szaktars.hu/harmattan/view/targy-jel-jelentes/</v>
      </c>
    </row>
    <row r="755" spans="1:6" x14ac:dyDescent="0.25">
      <c r="A755" t="s">
        <v>2166</v>
      </c>
      <c r="B755" t="s">
        <v>2167</v>
      </c>
      <c r="C755" t="s">
        <v>2168</v>
      </c>
      <c r="D755">
        <v>2016</v>
      </c>
      <c r="E755" t="s">
        <v>2024</v>
      </c>
      <c r="F755" t="str">
        <f>HYPERLINK("https://www.szaktars.hu/harmattan/view/folyosorol-folyosora-a-variansok-utvesztoi-kozott/", "https://www.szaktars.hu/harmattan/view/folyosorol-folyosora-a-variansok-utvesztoi-kozott/")</f>
        <v>https://www.szaktars.hu/harmattan/view/folyosorol-folyosora-a-variansok-utvesztoi-kozott/</v>
      </c>
    </row>
    <row r="756" spans="1:6" x14ac:dyDescent="0.25">
      <c r="A756" t="s">
        <v>2169</v>
      </c>
      <c r="B756" t="s">
        <v>2170</v>
      </c>
      <c r="C756" t="s">
        <v>2171</v>
      </c>
      <c r="D756">
        <v>2008</v>
      </c>
      <c r="E756" t="s">
        <v>2024</v>
      </c>
      <c r="F756" t="str">
        <f>HYPERLINK("https://www.szaktars.hu/harmattan/view/ordog-szara-bordaja-a-dohanyozas-meg-toretese-az-isten-beszedenek-porolye-altal-het-predikaciokban-foglalva-tiszalok-1712-1713/", "https://www.szaktars.hu/harmattan/view/ordog-szara-bordaja-a-dohanyozas-meg-toretese-az-isten-beszedenek-porolye-altal-het-predikaciokban-foglalva-tiszalok-1712-1713/")</f>
        <v>https://www.szaktars.hu/harmattan/view/ordog-szara-bordaja-a-dohanyozas-meg-toretese-az-isten-beszedenek-porolye-altal-het-predikaciokban-foglalva-tiszalok-1712-1713/</v>
      </c>
    </row>
    <row r="757" spans="1:6" x14ac:dyDescent="0.25">
      <c r="A757" t="s">
        <v>2172</v>
      </c>
      <c r="C757" t="s">
        <v>2173</v>
      </c>
      <c r="D757">
        <v>2010</v>
      </c>
      <c r="E757" t="s">
        <v>2024</v>
      </c>
      <c r="F757" t="str">
        <f>HYPERLINK("https://www.szaktars.hu/harmattan/view/masztorava-a-vilag-eposzai-7/", "https://www.szaktars.hu/harmattan/view/masztorava-a-vilag-eposzai-7/")</f>
        <v>https://www.szaktars.hu/harmattan/view/masztorava-a-vilag-eposzai-7/</v>
      </c>
    </row>
    <row r="758" spans="1:6" x14ac:dyDescent="0.25">
      <c r="A758" t="s">
        <v>2174</v>
      </c>
      <c r="B758" t="s">
        <v>2175</v>
      </c>
      <c r="C758" t="s">
        <v>2176</v>
      </c>
      <c r="D758">
        <v>2006</v>
      </c>
      <c r="E758" t="s">
        <v>2024</v>
      </c>
      <c r="F758" t="str">
        <f>HYPERLINK("https://www.szaktars.hu/harmattan/view/protestans-nepi-latomasok-a-xviii-szazadbol-i-kotet/", "https://www.szaktars.hu/harmattan/view/protestans-nepi-latomasok-a-xviii-szazadbol-i-kotet/")</f>
        <v>https://www.szaktars.hu/harmattan/view/protestans-nepi-latomasok-a-xviii-szazadbol-i-kotet/</v>
      </c>
    </row>
    <row r="759" spans="1:6" x14ac:dyDescent="0.25">
      <c r="A759" t="s">
        <v>2177</v>
      </c>
      <c r="B759" t="s">
        <v>2178</v>
      </c>
      <c r="C759" t="s">
        <v>2179</v>
      </c>
      <c r="D759">
        <v>2002</v>
      </c>
      <c r="E759" t="s">
        <v>2024</v>
      </c>
      <c r="F759" t="str">
        <f>HYPERLINK("https://www.szaktars.hu/harmattan/view/halaszo-parasztok-halaszati-vallalkozok/", "https://www.szaktars.hu/harmattan/view/halaszo-parasztok-halaszati-vallalkozok/")</f>
        <v>https://www.szaktars.hu/harmattan/view/halaszo-parasztok-halaszati-vallalkozok/</v>
      </c>
    </row>
    <row r="760" spans="1:6" x14ac:dyDescent="0.25">
      <c r="A760" t="s">
        <v>2180</v>
      </c>
      <c r="B760" t="s">
        <v>2056</v>
      </c>
      <c r="C760" t="s">
        <v>2181</v>
      </c>
      <c r="D760">
        <v>2001</v>
      </c>
      <c r="E760" t="s">
        <v>2024</v>
      </c>
      <c r="F760" t="str">
        <f>HYPERLINK("https://www.szaktars.hu/harmattan/view/szolohegyi-szabalyzatok-es-hegykozsegi-torvenyek-a-17-19-szazadbol-1/", "https://www.szaktars.hu/harmattan/view/szolohegyi-szabalyzatok-es-hegykozsegi-torvenyek-a-17-19-szazadbol-1/")</f>
        <v>https://www.szaktars.hu/harmattan/view/szolohegyi-szabalyzatok-es-hegykozsegi-torvenyek-a-17-19-szazadbol-1/</v>
      </c>
    </row>
    <row r="761" spans="1:6" x14ac:dyDescent="0.25">
      <c r="A761" t="s">
        <v>2182</v>
      </c>
      <c r="B761" t="s">
        <v>2183</v>
      </c>
      <c r="C761" t="s">
        <v>2184</v>
      </c>
      <c r="D761">
        <v>2010</v>
      </c>
      <c r="E761" t="s">
        <v>2024</v>
      </c>
      <c r="F761" t="str">
        <f>HYPERLINK("https://www.szaktars.hu/harmattan/view/balloszogi-vadviragok/", "https://www.szaktars.hu/harmattan/view/balloszogi-vadviragok/")</f>
        <v>https://www.szaktars.hu/harmattan/view/balloszogi-vadviragok/</v>
      </c>
    </row>
    <row r="762" spans="1:6" x14ac:dyDescent="0.25">
      <c r="A762" t="s">
        <v>2185</v>
      </c>
      <c r="B762" t="s">
        <v>2186</v>
      </c>
      <c r="C762" t="s">
        <v>2187</v>
      </c>
      <c r="D762">
        <v>2003</v>
      </c>
      <c r="E762" t="s">
        <v>2024</v>
      </c>
      <c r="F762" t="str">
        <f>HYPERLINK("https://www.szaktars.hu/harmattan/view/mely-hiv-szolgalattjaert-esztendobeli-fizetese-leszen-szemelvenyek-a-dessewffy-csalad-xviii-szazadi-gazdasagi-irataibol/", "https://www.szaktars.hu/harmattan/view/mely-hiv-szolgalattjaert-esztendobeli-fizetese-leszen-szemelvenyek-a-dessewffy-csalad-xviii-szazadi-gazdasagi-irataibol/")</f>
        <v>https://www.szaktars.hu/harmattan/view/mely-hiv-szolgalattjaert-esztendobeli-fizetese-leszen-szemelvenyek-a-dessewffy-csalad-xviii-szazadi-gazdasagi-irataibol/</v>
      </c>
    </row>
    <row r="763" spans="1:6" x14ac:dyDescent="0.25">
      <c r="A763" t="s">
        <v>2188</v>
      </c>
      <c r="B763" t="s">
        <v>2189</v>
      </c>
      <c r="C763" t="s">
        <v>2190</v>
      </c>
      <c r="D763">
        <v>2004</v>
      </c>
      <c r="E763" t="s">
        <v>2024</v>
      </c>
      <c r="F763" t="str">
        <f>HYPERLINK("https://www.szaktars.hu/harmattan/view/palocul-tanitott-imadkozni-anyam-egy-kazari-paloc-asszony-oneletirasa/", "https://www.szaktars.hu/harmattan/view/palocul-tanitott-imadkozni-anyam-egy-kazari-paloc-asszony-oneletirasa/")</f>
        <v>https://www.szaktars.hu/harmattan/view/palocul-tanitott-imadkozni-anyam-egy-kazari-paloc-asszony-oneletirasa/</v>
      </c>
    </row>
    <row r="764" spans="1:6" x14ac:dyDescent="0.25">
      <c r="A764" t="s">
        <v>2191</v>
      </c>
      <c r="B764" t="s">
        <v>1011</v>
      </c>
      <c r="C764" t="s">
        <v>2192</v>
      </c>
      <c r="D764">
        <v>2015</v>
      </c>
      <c r="E764" t="s">
        <v>2024</v>
      </c>
      <c r="F764" t="str">
        <f>HYPERLINK("https://www.szaktars.hu/harmattan/view/vl-100-tanulmanyok-vargyas-lajos-szuletesenek-100-evfordulojara/", "https://www.szaktars.hu/harmattan/view/vl-100-tanulmanyok-vargyas-lajos-szuletesenek-100-evfordulojara/")</f>
        <v>https://www.szaktars.hu/harmattan/view/vl-100-tanulmanyok-vargyas-lajos-szuletesenek-100-evfordulojara/</v>
      </c>
    </row>
    <row r="765" spans="1:6" x14ac:dyDescent="0.25">
      <c r="A765" t="s">
        <v>2193</v>
      </c>
      <c r="B765" t="s">
        <v>2194</v>
      </c>
      <c r="C765" t="s">
        <v>2195</v>
      </c>
      <c r="D765">
        <v>2009</v>
      </c>
      <c r="E765" t="s">
        <v>2024</v>
      </c>
      <c r="F765" t="str">
        <f>HYPERLINK("https://www.szaktars.hu/harmattan/view/passageways-from-hungarian-ethnography-to-european-ethnology-and-sociocultural-anthropology/", "https://www.szaktars.hu/harmattan/view/passageways-from-hungarian-ethnography-to-european-ethnology-and-sociocultural-anthropology/")</f>
        <v>https://www.szaktars.hu/harmattan/view/passageways-from-hungarian-ethnography-to-european-ethnology-and-sociocultural-anthropology/</v>
      </c>
    </row>
    <row r="766" spans="1:6" x14ac:dyDescent="0.25">
      <c r="A766" t="s">
        <v>2196</v>
      </c>
      <c r="B766" t="s">
        <v>2197</v>
      </c>
      <c r="C766" t="s">
        <v>2198</v>
      </c>
      <c r="D766">
        <v>2011</v>
      </c>
      <c r="E766" t="s">
        <v>2024</v>
      </c>
      <c r="F766" t="str">
        <f>HYPERLINK("https://www.szaktars.hu/harmattan/view/parbeszed-a-hagyomannyal-a-neprajzi-kutatas-multja-es-jelene/", "https://www.szaktars.hu/harmattan/view/parbeszed-a-hagyomannyal-a-neprajzi-kutatas-multja-es-jelene/")</f>
        <v>https://www.szaktars.hu/harmattan/view/parbeszed-a-hagyomannyal-a-neprajzi-kutatas-multja-es-jelene/</v>
      </c>
    </row>
    <row r="767" spans="1:6" x14ac:dyDescent="0.25">
      <c r="A767" t="s">
        <v>2199</v>
      </c>
      <c r="B767" t="s">
        <v>2200</v>
      </c>
      <c r="C767" t="s">
        <v>2201</v>
      </c>
      <c r="D767">
        <v>2008</v>
      </c>
      <c r="E767" t="s">
        <v>2024</v>
      </c>
      <c r="F767" t="str">
        <f>HYPERLINK("https://www.szaktars.hu/harmattan/view/a-bodrogkozi-kultura-es-tarsadalom-valtozasa-a-19-20-szazadban/", "https://www.szaktars.hu/harmattan/view/a-bodrogkozi-kultura-es-tarsadalom-valtozasa-a-19-20-szazadban/")</f>
        <v>https://www.szaktars.hu/harmattan/view/a-bodrogkozi-kultura-es-tarsadalom-valtozasa-a-19-20-szazadban/</v>
      </c>
    </row>
    <row r="768" spans="1:6" x14ac:dyDescent="0.25">
      <c r="A768" t="s">
        <v>2202</v>
      </c>
      <c r="C768" t="s">
        <v>2203</v>
      </c>
      <c r="D768">
        <v>2007</v>
      </c>
      <c r="E768" t="s">
        <v>2024</v>
      </c>
      <c r="F768" t="str">
        <f>HYPERLINK("https://www.szaktars.hu/harmattan/view/feherlofia/", "https://www.szaktars.hu/harmattan/view/feherlofia/")</f>
        <v>https://www.szaktars.hu/harmattan/view/feherlofia/</v>
      </c>
    </row>
    <row r="769" spans="1:6" x14ac:dyDescent="0.25">
      <c r="A769" t="s">
        <v>2204</v>
      </c>
      <c r="B769" t="s">
        <v>2205</v>
      </c>
      <c r="C769" t="s">
        <v>2206</v>
      </c>
      <c r="D769">
        <v>2000</v>
      </c>
      <c r="E769" t="s">
        <v>2024</v>
      </c>
      <c r="F769" t="str">
        <f>HYPERLINK("https://www.szaktars.hu/harmattan/view/nyitott-konyv-a-lelkem-egy-anya-vallomasa/", "https://www.szaktars.hu/harmattan/view/nyitott-konyv-a-lelkem-egy-anya-vallomasa/")</f>
        <v>https://www.szaktars.hu/harmattan/view/nyitott-konyv-a-lelkem-egy-anya-vallomasa/</v>
      </c>
    </row>
    <row r="770" spans="1:6" x14ac:dyDescent="0.25">
      <c r="A770" t="s">
        <v>2207</v>
      </c>
      <c r="B770" t="s">
        <v>2208</v>
      </c>
      <c r="C770" t="s">
        <v>2209</v>
      </c>
      <c r="D770">
        <v>2015</v>
      </c>
      <c r="E770" t="s">
        <v>2024</v>
      </c>
      <c r="F770" t="str">
        <f>HYPERLINK("https://www.szaktars.hu/harmattan/view/vita-waltharii-manu-fortis-eros-kezu-valter-tortenete/", "https://www.szaktars.hu/harmattan/view/vita-waltharii-manu-fortis-eros-kezu-valter-tortenete/")</f>
        <v>https://www.szaktars.hu/harmattan/view/vita-waltharii-manu-fortis-eros-kezu-valter-tortenete/</v>
      </c>
    </row>
    <row r="771" spans="1:6" x14ac:dyDescent="0.25">
      <c r="A771" t="s">
        <v>2210</v>
      </c>
      <c r="B771" t="s">
        <v>2211</v>
      </c>
      <c r="C771" t="s">
        <v>2212</v>
      </c>
      <c r="D771">
        <v>2016</v>
      </c>
      <c r="E771" t="s">
        <v>2213</v>
      </c>
      <c r="F771" t="str">
        <f>HYPERLINK("https://www.szaktars.hu/harmattan/view/felnottkent-az-iskolapadban-a-felnottkepzes-szerepe-az-erettsegivel-nem-rendelkezo-szemelyek-munkaero-piaci-integraciojaban/", "https://www.szaktars.hu/harmattan/view/felnottkent-az-iskolapadban-a-felnottkepzes-szerepe-az-erettsegivel-nem-rendelkezo-szemelyek-munkaero-piaci-integraciojaban/")</f>
        <v>https://www.szaktars.hu/harmattan/view/felnottkent-az-iskolapadban-a-felnottkepzes-szerepe-az-erettsegivel-nem-rendelkezo-szemelyek-munkaero-piaci-integraciojaban/</v>
      </c>
    </row>
    <row r="772" spans="1:6" x14ac:dyDescent="0.25">
      <c r="A772" t="s">
        <v>2214</v>
      </c>
      <c r="B772" t="s">
        <v>2215</v>
      </c>
      <c r="C772" t="s">
        <v>2216</v>
      </c>
      <c r="D772">
        <v>2013</v>
      </c>
      <c r="E772" t="s">
        <v>2213</v>
      </c>
      <c r="F772" t="str">
        <f>HYPERLINK("https://www.szaktars.hu/harmattan/view/szinhazi-nevelesi-programok-kezikonyve/", "https://www.szaktars.hu/harmattan/view/szinhazi-nevelesi-programok-kezikonyve/")</f>
        <v>https://www.szaktars.hu/harmattan/view/szinhazi-nevelesi-programok-kezikonyve/</v>
      </c>
    </row>
    <row r="773" spans="1:6" x14ac:dyDescent="0.25">
      <c r="A773" t="s">
        <v>2217</v>
      </c>
      <c r="B773" t="s">
        <v>2218</v>
      </c>
      <c r="C773" t="s">
        <v>2219</v>
      </c>
      <c r="D773">
        <v>2013</v>
      </c>
      <c r="E773" t="s">
        <v>2213</v>
      </c>
      <c r="F773" t="str">
        <f>HYPERLINK("https://www.szaktars.hu/harmattan/view/digitalis-tananyagok-oktatasinformatikai-kompetencia-a-tanarkepzesben/", "https://www.szaktars.hu/harmattan/view/digitalis-tananyagok-oktatasinformatikai-kompetencia-a-tanarkepzesben/")</f>
        <v>https://www.szaktars.hu/harmattan/view/digitalis-tananyagok-oktatasinformatikai-kompetencia-a-tanarkepzesben/</v>
      </c>
    </row>
    <row r="774" spans="1:6" x14ac:dyDescent="0.25">
      <c r="A774" t="s">
        <v>2220</v>
      </c>
      <c r="B774" t="s">
        <v>2221</v>
      </c>
      <c r="C774" t="s">
        <v>2222</v>
      </c>
      <c r="D774">
        <v>2008</v>
      </c>
      <c r="E774" t="s">
        <v>2213</v>
      </c>
      <c r="F774" t="str">
        <f>HYPERLINK("https://www.szaktars.hu/harmattan/view/tul-a-szegregacion-kategoriak-burjanzasa-a-magyar-kozoktatasban/", "https://www.szaktars.hu/harmattan/view/tul-a-szegregacion-kategoriak-burjanzasa-a-magyar-kozoktatasban/")</f>
        <v>https://www.szaktars.hu/harmattan/view/tul-a-szegregacion-kategoriak-burjanzasa-a-magyar-kozoktatasban/</v>
      </c>
    </row>
    <row r="775" spans="1:6" x14ac:dyDescent="0.25">
      <c r="A775" t="s">
        <v>2223</v>
      </c>
      <c r="B775" t="s">
        <v>791</v>
      </c>
      <c r="C775" t="s">
        <v>2224</v>
      </c>
      <c r="D775">
        <v>2010</v>
      </c>
      <c r="E775" t="s">
        <v>2213</v>
      </c>
      <c r="F775" t="str">
        <f>HYPERLINK("https://www.szaktars.hu/harmattan/view/akadalyverseny-szabadsag-projekt-az-iskolaban-szinhaz-es-pedagogia-elmeleti-es-modszertani-fuzetek/", "https://www.szaktars.hu/harmattan/view/akadalyverseny-szabadsag-projekt-az-iskolaban-szinhaz-es-pedagogia-elmeleti-es-modszertani-fuzetek/")</f>
        <v>https://www.szaktars.hu/harmattan/view/akadalyverseny-szabadsag-projekt-az-iskolaban-szinhaz-es-pedagogia-elmeleti-es-modszertani-fuzetek/</v>
      </c>
    </row>
    <row r="776" spans="1:6" x14ac:dyDescent="0.25">
      <c r="A776" t="s">
        <v>2225</v>
      </c>
      <c r="B776" t="s">
        <v>2226</v>
      </c>
      <c r="C776" t="s">
        <v>2227</v>
      </c>
      <c r="D776">
        <v>2010</v>
      </c>
      <c r="E776" t="s">
        <v>2213</v>
      </c>
      <c r="F776" t="str">
        <f>HYPERLINK("https://www.szaktars.hu/harmattan/view/fontosabb-valtozasok-a-tanugyi-es-a-kozoktatast-erinto-munkajogi-szabalyozas-teren/", "https://www.szaktars.hu/harmattan/view/fontosabb-valtozasok-a-tanugyi-es-a-kozoktatast-erinto-munkajogi-szabalyozas-teren/")</f>
        <v>https://www.szaktars.hu/harmattan/view/fontosabb-valtozasok-a-tanugyi-es-a-kozoktatast-erinto-munkajogi-szabalyozas-teren/</v>
      </c>
    </row>
    <row r="777" spans="1:6" x14ac:dyDescent="0.25">
      <c r="A777" t="s">
        <v>2228</v>
      </c>
      <c r="B777" t="s">
        <v>2229</v>
      </c>
      <c r="C777" t="s">
        <v>2230</v>
      </c>
      <c r="D777">
        <v>2015</v>
      </c>
      <c r="E777" t="s">
        <v>2213</v>
      </c>
      <c r="F777" t="str">
        <f>HYPERLINK("https://www.szaktars.hu/harmattan/view/a-neveles-kozmologusai/", "https://www.szaktars.hu/harmattan/view/a-neveles-kozmologusai/")</f>
        <v>https://www.szaktars.hu/harmattan/view/a-neveles-kozmologusai/</v>
      </c>
    </row>
    <row r="778" spans="1:6" x14ac:dyDescent="0.25">
      <c r="A778" t="s">
        <v>2231</v>
      </c>
      <c r="B778" t="s">
        <v>2232</v>
      </c>
      <c r="C778" t="s">
        <v>2233</v>
      </c>
      <c r="D778">
        <v>2014</v>
      </c>
      <c r="E778" t="s">
        <v>2213</v>
      </c>
      <c r="F778" t="str">
        <f>HYPERLINK("https://www.szaktars.hu/harmattan/view/az-erkolcsi-neveles-uj-perspektivai/", "https://www.szaktars.hu/harmattan/view/az-erkolcsi-neveles-uj-perspektivai/")</f>
        <v>https://www.szaktars.hu/harmattan/view/az-erkolcsi-neveles-uj-perspektivai/</v>
      </c>
    </row>
    <row r="779" spans="1:6" x14ac:dyDescent="0.25">
      <c r="A779" t="s">
        <v>2234</v>
      </c>
      <c r="B779" t="s">
        <v>2235</v>
      </c>
      <c r="C779" t="s">
        <v>2236</v>
      </c>
      <c r="D779">
        <v>2016</v>
      </c>
      <c r="E779" t="s">
        <v>2213</v>
      </c>
      <c r="F779" t="str">
        <f>HYPERLINK("https://www.szaktars.hu/harmattan/view/tortenelemtanitasrol-a-21-szazad-elejen/", "https://www.szaktars.hu/harmattan/view/tortenelemtanitasrol-a-21-szazad-elejen/")</f>
        <v>https://www.szaktars.hu/harmattan/view/tortenelemtanitasrol-a-21-szazad-elejen/</v>
      </c>
    </row>
    <row r="780" spans="1:6" x14ac:dyDescent="0.25">
      <c r="A780" t="s">
        <v>2237</v>
      </c>
      <c r="B780" t="s">
        <v>2238</v>
      </c>
      <c r="C780" t="s">
        <v>2239</v>
      </c>
      <c r="D780">
        <v>2010</v>
      </c>
      <c r="E780" t="s">
        <v>2213</v>
      </c>
      <c r="F780" t="str">
        <f>HYPERLINK("https://www.szaktars.hu/harmattan/view/bepillantas/", "https://www.szaktars.hu/harmattan/view/bepillantas/")</f>
        <v>https://www.szaktars.hu/harmattan/view/bepillantas/</v>
      </c>
    </row>
    <row r="781" spans="1:6" x14ac:dyDescent="0.25">
      <c r="A781" t="s">
        <v>2240</v>
      </c>
      <c r="B781" t="s">
        <v>2241</v>
      </c>
      <c r="C781" t="s">
        <v>2242</v>
      </c>
      <c r="D781">
        <v>2010</v>
      </c>
      <c r="E781" t="s">
        <v>2213</v>
      </c>
      <c r="F781" t="str">
        <f>HYPERLINK("https://www.szaktars.hu/harmattan/view/a-jogtudatrol-alulnezetben-tizenevesek-jogtudata-es-jogi-erzekenysege/", "https://www.szaktars.hu/harmattan/view/a-jogtudatrol-alulnezetben-tizenevesek-jogtudata-es-jogi-erzekenysege/")</f>
        <v>https://www.szaktars.hu/harmattan/view/a-jogtudatrol-alulnezetben-tizenevesek-jogtudata-es-jogi-erzekenysege/</v>
      </c>
    </row>
    <row r="782" spans="1:6" x14ac:dyDescent="0.25">
      <c r="A782" t="s">
        <v>2243</v>
      </c>
      <c r="B782" t="s">
        <v>2244</v>
      </c>
      <c r="C782" t="s">
        <v>2245</v>
      </c>
      <c r="D782">
        <v>2014</v>
      </c>
      <c r="E782" t="s">
        <v>2246</v>
      </c>
      <c r="F782" t="str">
        <f>HYPERLINK("https://www.szaktars.hu/harmattan/view/ketnyelvuseg-variabilitas-es-valtozas-magyarorszagi-kozossegekben/", "https://www.szaktars.hu/harmattan/view/ketnyelvuseg-variabilitas-es-valtozas-magyarorszagi-kozossegekben/")</f>
        <v>https://www.szaktars.hu/harmattan/view/ketnyelvuseg-variabilitas-es-valtozas-magyarorszagi-kozossegekben/</v>
      </c>
    </row>
    <row r="783" spans="1:6" x14ac:dyDescent="0.25">
      <c r="A783" t="s">
        <v>2247</v>
      </c>
      <c r="B783" t="s">
        <v>2248</v>
      </c>
      <c r="C783" t="s">
        <v>2249</v>
      </c>
      <c r="D783">
        <v>2015</v>
      </c>
      <c r="E783" t="s">
        <v>2246</v>
      </c>
      <c r="F783" t="str">
        <f>HYPERLINK("https://www.szaktars.hu/harmattan/view/a-magyar-mint-idegen-nyelv-grammatikaja/", "https://www.szaktars.hu/harmattan/view/a-magyar-mint-idegen-nyelv-grammatikaja/")</f>
        <v>https://www.szaktars.hu/harmattan/view/a-magyar-mint-idegen-nyelv-grammatikaja/</v>
      </c>
    </row>
    <row r="784" spans="1:6" x14ac:dyDescent="0.25">
      <c r="A784" t="s">
        <v>2250</v>
      </c>
      <c r="B784" t="s">
        <v>2251</v>
      </c>
      <c r="C784" t="s">
        <v>2252</v>
      </c>
      <c r="D784">
        <v>2008</v>
      </c>
      <c r="E784" t="s">
        <v>2246</v>
      </c>
      <c r="F784" t="str">
        <f>HYPERLINK("https://www.szaktars.hu/harmattan/view/oratoris-officium-tanulmanyok-a-hetveneves-adamik-tamas-tiszteletere/", "https://www.szaktars.hu/harmattan/view/oratoris-officium-tanulmanyok-a-hetveneves-adamik-tamas-tiszteletere/")</f>
        <v>https://www.szaktars.hu/harmattan/view/oratoris-officium-tanulmanyok-a-hetveneves-adamik-tamas-tiszteletere/</v>
      </c>
    </row>
    <row r="785" spans="1:6" x14ac:dyDescent="0.25">
      <c r="A785" t="s">
        <v>2253</v>
      </c>
      <c r="B785" t="s">
        <v>2254</v>
      </c>
      <c r="C785" t="s">
        <v>2255</v>
      </c>
      <c r="D785">
        <v>2007</v>
      </c>
      <c r="E785" t="s">
        <v>2246</v>
      </c>
      <c r="F785" t="str">
        <f>HYPERLINK("https://www.szaktars.hu/harmattan/view/a-bantu-nyelvek/", "https://www.szaktars.hu/harmattan/view/a-bantu-nyelvek/")</f>
        <v>https://www.szaktars.hu/harmattan/view/a-bantu-nyelvek/</v>
      </c>
    </row>
    <row r="786" spans="1:6" x14ac:dyDescent="0.25">
      <c r="A786" t="s">
        <v>2256</v>
      </c>
      <c r="B786" t="s">
        <v>2257</v>
      </c>
      <c r="C786" t="s">
        <v>2258</v>
      </c>
      <c r="D786">
        <v>2014</v>
      </c>
      <c r="E786" t="s">
        <v>2246</v>
      </c>
      <c r="F786" t="str">
        <f>HYPERLINK("https://www.szaktars.hu/harmattan/view/das-wort-ein-weites-feld/", "https://www.szaktars.hu/harmattan/view/das-wort-ein-weites-feld/")</f>
        <v>https://www.szaktars.hu/harmattan/view/das-wort-ein-weites-feld/</v>
      </c>
    </row>
    <row r="787" spans="1:6" x14ac:dyDescent="0.25">
      <c r="A787" t="s">
        <v>2259</v>
      </c>
      <c r="B787" t="s">
        <v>2260</v>
      </c>
      <c r="C787" t="s">
        <v>2261</v>
      </c>
      <c r="D787">
        <v>2013</v>
      </c>
      <c r="E787" t="s">
        <v>2246</v>
      </c>
      <c r="F787" t="str">
        <f>HYPERLINK("https://www.szaktars.hu/harmattan/view/magyar-nyelvtorteneti-tanulmanyok/", "https://www.szaktars.hu/harmattan/view/magyar-nyelvtorteneti-tanulmanyok/")</f>
        <v>https://www.szaktars.hu/harmattan/view/magyar-nyelvtorteneti-tanulmanyok/</v>
      </c>
    </row>
    <row r="788" spans="1:6" x14ac:dyDescent="0.25">
      <c r="A788" t="s">
        <v>2262</v>
      </c>
      <c r="B788" t="s">
        <v>2263</v>
      </c>
      <c r="C788" t="s">
        <v>2264</v>
      </c>
      <c r="D788">
        <v>2007</v>
      </c>
      <c r="E788" t="s">
        <v>2246</v>
      </c>
      <c r="F788" t="str">
        <f>HYPERLINK("https://www.szaktars.hu/harmattan/view/a-mondat-informacios-szerkezete/", "https://www.szaktars.hu/harmattan/view/a-mondat-informacios-szerkezete/")</f>
        <v>https://www.szaktars.hu/harmattan/view/a-mondat-informacios-szerkezete/</v>
      </c>
    </row>
    <row r="789" spans="1:6" x14ac:dyDescent="0.25">
      <c r="A789" t="s">
        <v>2265</v>
      </c>
      <c r="B789" t="s">
        <v>2266</v>
      </c>
      <c r="C789" t="s">
        <v>2267</v>
      </c>
      <c r="D789">
        <v>2007</v>
      </c>
      <c r="E789" t="s">
        <v>2246</v>
      </c>
      <c r="F789" t="str">
        <f>HYPERLINK("https://www.szaktars.hu/harmattan/view/euskal-gramatika-llaburra-rovid-baszk-nyelvtan/", "https://www.szaktars.hu/harmattan/view/euskal-gramatika-llaburra-rovid-baszk-nyelvtan/")</f>
        <v>https://www.szaktars.hu/harmattan/view/euskal-gramatika-llaburra-rovid-baszk-nyelvtan/</v>
      </c>
    </row>
    <row r="790" spans="1:6" x14ac:dyDescent="0.25">
      <c r="A790" t="s">
        <v>2268</v>
      </c>
      <c r="B790" t="s">
        <v>2266</v>
      </c>
      <c r="C790" t="s">
        <v>2269</v>
      </c>
      <c r="D790">
        <v>2016</v>
      </c>
      <c r="E790" t="s">
        <v>2246</v>
      </c>
      <c r="F790" t="str">
        <f>HYPERLINK("https://www.szaktars.hu/harmattan/view/magyar-baszk-szoszedet/", "https://www.szaktars.hu/harmattan/view/magyar-baszk-szoszedet/")</f>
        <v>https://www.szaktars.hu/harmattan/view/magyar-baszk-szoszedet/</v>
      </c>
    </row>
    <row r="791" spans="1:6" x14ac:dyDescent="0.25">
      <c r="A791" t="s">
        <v>2270</v>
      </c>
      <c r="B791" t="s">
        <v>2271</v>
      </c>
      <c r="C791" t="s">
        <v>2272</v>
      </c>
      <c r="D791">
        <v>2003</v>
      </c>
      <c r="E791" t="s">
        <v>2246</v>
      </c>
      <c r="F791" t="str">
        <f>HYPERLINK("https://www.szaktars.hu/harmattan/view/ausztralia-bennszulott-nyelvei/", "https://www.szaktars.hu/harmattan/view/ausztralia-bennszulott-nyelvei/")</f>
        <v>https://www.szaktars.hu/harmattan/view/ausztralia-bennszulott-nyelvei/</v>
      </c>
    </row>
    <row r="792" spans="1:6" x14ac:dyDescent="0.25">
      <c r="A792" t="s">
        <v>2273</v>
      </c>
      <c r="B792" t="s">
        <v>2263</v>
      </c>
      <c r="C792" t="s">
        <v>2274</v>
      </c>
      <c r="D792">
        <v>2007</v>
      </c>
      <c r="E792" t="s">
        <v>2246</v>
      </c>
      <c r="F792" t="str">
        <f>HYPERLINK("https://www.szaktars.hu/harmattan/view/la-structure-informationnelle-de-la-phrase/", "https://www.szaktars.hu/harmattan/view/la-structure-informationnelle-de-la-phrase/")</f>
        <v>https://www.szaktars.hu/harmattan/view/la-structure-informationnelle-de-la-phrase/</v>
      </c>
    </row>
    <row r="793" spans="1:6" x14ac:dyDescent="0.25">
      <c r="A793" t="s">
        <v>2275</v>
      </c>
      <c r="B793" t="s">
        <v>2276</v>
      </c>
      <c r="C793" t="s">
        <v>2277</v>
      </c>
      <c r="D793">
        <v>2011</v>
      </c>
      <c r="E793" t="s">
        <v>2278</v>
      </c>
      <c r="F793" t="str">
        <f>HYPERLINK("https://www.szaktars.hu/harmattan/view/az-alkotmany-arca-preambulum-tanulmanyok/", "https://www.szaktars.hu/harmattan/view/az-alkotmany-arca-preambulum-tanulmanyok/")</f>
        <v>https://www.szaktars.hu/harmattan/view/az-alkotmany-arca-preambulum-tanulmanyok/</v>
      </c>
    </row>
    <row r="794" spans="1:6" x14ac:dyDescent="0.25">
      <c r="A794" t="s">
        <v>2279</v>
      </c>
      <c r="B794" t="s">
        <v>2280</v>
      </c>
      <c r="C794" t="s">
        <v>2281</v>
      </c>
      <c r="D794">
        <v>2016</v>
      </c>
      <c r="E794" t="s">
        <v>2278</v>
      </c>
      <c r="F794" t="str">
        <f>HYPERLINK("https://www.szaktars.hu/harmattan/view/nemzetallamok-es-kisebbsegek-tortenelem-es-identitas-kozep-europaban/", "https://www.szaktars.hu/harmattan/view/nemzetallamok-es-kisebbsegek-tortenelem-es-identitas-kozep-europaban/")</f>
        <v>https://www.szaktars.hu/harmattan/view/nemzetallamok-es-kisebbsegek-tortenelem-es-identitas-kozep-europaban/</v>
      </c>
    </row>
    <row r="795" spans="1:6" x14ac:dyDescent="0.25">
      <c r="A795" t="s">
        <v>2282</v>
      </c>
      <c r="B795" t="s">
        <v>2283</v>
      </c>
      <c r="C795" t="s">
        <v>2284</v>
      </c>
      <c r="D795">
        <v>2007</v>
      </c>
      <c r="E795" t="s">
        <v>2278</v>
      </c>
      <c r="F795" t="str">
        <f>HYPERLINK("https://www.szaktars.hu/harmattan/view/politikai-ertekelmelet/", "https://www.szaktars.hu/harmattan/view/politikai-ertekelmelet/")</f>
        <v>https://www.szaktars.hu/harmattan/view/politikai-ertekelmelet/</v>
      </c>
    </row>
    <row r="796" spans="1:6" x14ac:dyDescent="0.25">
      <c r="A796" t="s">
        <v>2285</v>
      </c>
      <c r="B796" t="s">
        <v>2286</v>
      </c>
      <c r="C796" t="s">
        <v>2287</v>
      </c>
      <c r="D796">
        <v>2006</v>
      </c>
      <c r="E796" t="s">
        <v>2278</v>
      </c>
      <c r="F796" t="str">
        <f>HYPERLINK("https://www.szaktars.hu/harmattan/view/igazsagossag-es-politika/", "https://www.szaktars.hu/harmattan/view/igazsagossag-es-politika/")</f>
        <v>https://www.szaktars.hu/harmattan/view/igazsagossag-es-politika/</v>
      </c>
    </row>
    <row r="797" spans="1:6" x14ac:dyDescent="0.25">
      <c r="A797" t="s">
        <v>2288</v>
      </c>
      <c r="B797" t="s">
        <v>2286</v>
      </c>
      <c r="C797" t="s">
        <v>2289</v>
      </c>
      <c r="D797">
        <v>2012</v>
      </c>
      <c r="E797" t="s">
        <v>2278</v>
      </c>
      <c r="F797" t="str">
        <f>HYPERLINK("https://www.szaktars.hu/harmattan/view/rendszervalsag-es-tarsadalomelmelet-tanulmanyok/", "https://www.szaktars.hu/harmattan/view/rendszervalsag-es-tarsadalomelmelet-tanulmanyok/")</f>
        <v>https://www.szaktars.hu/harmattan/view/rendszervalsag-es-tarsadalomelmelet-tanulmanyok/</v>
      </c>
    </row>
    <row r="798" spans="1:6" x14ac:dyDescent="0.25">
      <c r="A798" t="s">
        <v>2290</v>
      </c>
      <c r="B798" t="s">
        <v>2291</v>
      </c>
      <c r="C798" t="s">
        <v>2292</v>
      </c>
      <c r="D798">
        <v>2015</v>
      </c>
      <c r="E798" t="s">
        <v>2278</v>
      </c>
      <c r="F798" t="str">
        <f>HYPERLINK("https://www.szaktars.hu/harmattan/view/a-nagyhatalmak-harca-eurazsiaban-geopolitikai-esettanulmanyok/", "https://www.szaktars.hu/harmattan/view/a-nagyhatalmak-harca-eurazsiaban-geopolitikai-esettanulmanyok/")</f>
        <v>https://www.szaktars.hu/harmattan/view/a-nagyhatalmak-harca-eurazsiaban-geopolitikai-esettanulmanyok/</v>
      </c>
    </row>
    <row r="799" spans="1:6" x14ac:dyDescent="0.25">
      <c r="A799" t="s">
        <v>2293</v>
      </c>
      <c r="B799" t="s">
        <v>2291</v>
      </c>
      <c r="C799" t="s">
        <v>2294</v>
      </c>
      <c r="D799">
        <v>2006</v>
      </c>
      <c r="E799" t="s">
        <v>2278</v>
      </c>
      <c r="F799" t="str">
        <f>HYPERLINK("https://www.szaktars.hu/harmattan/view/bevezetes-a-geopolitikaba/", "https://www.szaktars.hu/harmattan/view/bevezetes-a-geopolitikaba/")</f>
        <v>https://www.szaktars.hu/harmattan/view/bevezetes-a-geopolitikaba/</v>
      </c>
    </row>
    <row r="800" spans="1:6" x14ac:dyDescent="0.25">
      <c r="A800" t="s">
        <v>2295</v>
      </c>
      <c r="B800" t="s">
        <v>2291</v>
      </c>
      <c r="C800" t="s">
        <v>2296</v>
      </c>
      <c r="D800">
        <v>2005</v>
      </c>
      <c r="E800" t="s">
        <v>2278</v>
      </c>
      <c r="F800" t="str">
        <f>HYPERLINK("https://www.szaktars.hu/harmattan/view/tudomanyelmeleti-kalandozasok-ember-es-tarsadalomkepek-a-politologiaban-es-a-gazdasagtanokban/", "https://www.szaktars.hu/harmattan/view/tudomanyelmeleti-kalandozasok-ember-es-tarsadalomkepek-a-politologiaban-es-a-gazdasagtanokban/")</f>
        <v>https://www.szaktars.hu/harmattan/view/tudomanyelmeleti-kalandozasok-ember-es-tarsadalomkepek-a-politologiaban-es-a-gazdasagtanokban/</v>
      </c>
    </row>
    <row r="801" spans="1:6" x14ac:dyDescent="0.25">
      <c r="A801" t="s">
        <v>2297</v>
      </c>
      <c r="B801" t="s">
        <v>2291</v>
      </c>
      <c r="C801" t="s">
        <v>2298</v>
      </c>
      <c r="D801">
        <v>2012</v>
      </c>
      <c r="E801" t="s">
        <v>2278</v>
      </c>
      <c r="F801" t="str">
        <f>HYPERLINK("https://www.szaktars.hu/harmattan/view/vigyazat-jonnek-a-torokok-meddig-terjednek-s-egyaltalan-vannak-e-az-europai-unionak-hatarai/", "https://www.szaktars.hu/harmattan/view/vigyazat-jonnek-a-torokok-meddig-terjednek-s-egyaltalan-vannak-e-az-europai-unionak-hatarai/")</f>
        <v>https://www.szaktars.hu/harmattan/view/vigyazat-jonnek-a-torokok-meddig-terjednek-s-egyaltalan-vannak-e-az-europai-unionak-hatarai/</v>
      </c>
    </row>
    <row r="802" spans="1:6" x14ac:dyDescent="0.25">
      <c r="A802" t="s">
        <v>2299</v>
      </c>
      <c r="B802" t="s">
        <v>2300</v>
      </c>
      <c r="C802" t="s">
        <v>2301</v>
      </c>
      <c r="D802">
        <v>2010</v>
      </c>
      <c r="E802" t="s">
        <v>2278</v>
      </c>
      <c r="F802" t="str">
        <f>HYPERLINK("https://www.szaktars.hu/harmattan/view/az-europai-forradalom-1945-2007/", "https://www.szaktars.hu/harmattan/view/az-europai-forradalom-1945-2007/")</f>
        <v>https://www.szaktars.hu/harmattan/view/az-europai-forradalom-1945-2007/</v>
      </c>
    </row>
    <row r="803" spans="1:6" x14ac:dyDescent="0.25">
      <c r="A803" t="s">
        <v>2302</v>
      </c>
      <c r="B803" t="s">
        <v>2303</v>
      </c>
      <c r="C803" t="s">
        <v>2304</v>
      </c>
      <c r="D803">
        <v>2009</v>
      </c>
      <c r="E803" t="s">
        <v>2278</v>
      </c>
      <c r="F803" t="str">
        <f>HYPERLINK("https://www.szaktars.hu/harmattan/view/a-rendszervaltas-husz-eve-valtozasok-es-valaszok/", "https://www.szaktars.hu/harmattan/view/a-rendszervaltas-husz-eve-valtozasok-es-valaszok/")</f>
        <v>https://www.szaktars.hu/harmattan/view/a-rendszervaltas-husz-eve-valtozasok-es-valaszok/</v>
      </c>
    </row>
    <row r="804" spans="1:6" x14ac:dyDescent="0.25">
      <c r="A804" t="s">
        <v>2305</v>
      </c>
      <c r="B804" t="s">
        <v>2306</v>
      </c>
      <c r="C804" t="s">
        <v>2307</v>
      </c>
      <c r="D804">
        <v>2008</v>
      </c>
      <c r="E804" t="s">
        <v>2278</v>
      </c>
      <c r="F804" t="str">
        <f>HYPERLINK("https://www.szaktars.hu/harmattan/view/magyarorszag-a-nemzetkozi-kornyezetpolitikaban-az-eghajlat-es-a-biologiai-sokfeleseg-vedelme/", "https://www.szaktars.hu/harmattan/view/magyarorszag-a-nemzetkozi-kornyezetpolitikaban-az-eghajlat-es-a-biologiai-sokfeleseg-vedelme/")</f>
        <v>https://www.szaktars.hu/harmattan/view/magyarorszag-a-nemzetkozi-kornyezetpolitikaban-az-eghajlat-es-a-biologiai-sokfeleseg-vedelme/</v>
      </c>
    </row>
    <row r="805" spans="1:6" x14ac:dyDescent="0.25">
      <c r="A805" t="s">
        <v>2308</v>
      </c>
      <c r="B805" t="s">
        <v>2309</v>
      </c>
      <c r="C805" t="s">
        <v>2310</v>
      </c>
      <c r="D805">
        <v>2013</v>
      </c>
      <c r="E805" t="s">
        <v>2278</v>
      </c>
      <c r="F805" t="str">
        <f>HYPERLINK("https://www.szaktars.hu/harmattan/view/tudas-es-politika-a-kozpolitika-alkotas-gyakorlata/", "https://www.szaktars.hu/harmattan/view/tudas-es-politika-a-kozpolitika-alkotas-gyakorlata/")</f>
        <v>https://www.szaktars.hu/harmattan/view/tudas-es-politika-a-kozpolitika-alkotas-gyakorlata/</v>
      </c>
    </row>
    <row r="806" spans="1:6" x14ac:dyDescent="0.25">
      <c r="A806" t="s">
        <v>2311</v>
      </c>
      <c r="B806" t="s">
        <v>2312</v>
      </c>
      <c r="C806" t="s">
        <v>2313</v>
      </c>
      <c r="D806">
        <v>2009</v>
      </c>
      <c r="E806" t="s">
        <v>2278</v>
      </c>
      <c r="F806" t="str">
        <f>HYPERLINK("https://www.szaktars.hu/harmattan/view/a-politikai-filozofia-alapelvei/", "https://www.szaktars.hu/harmattan/view/a-politikai-filozofia-alapelvei/")</f>
        <v>https://www.szaktars.hu/harmattan/view/a-politikai-filozofia-alapelvei/</v>
      </c>
    </row>
    <row r="807" spans="1:6" x14ac:dyDescent="0.25">
      <c r="A807" t="s">
        <v>2314</v>
      </c>
      <c r="B807" t="s">
        <v>2315</v>
      </c>
      <c r="C807" t="s">
        <v>2316</v>
      </c>
      <c r="D807">
        <v>2016</v>
      </c>
      <c r="E807" t="s">
        <v>2278</v>
      </c>
      <c r="F807" t="str">
        <f>HYPERLINK("https://www.szaktars.hu/harmattan/view/modernizacio-es-ertekrend-a-nyugati-vilag-torokorszag-es-kelet-azsia/", "https://www.szaktars.hu/harmattan/view/modernizacio-es-ertekrend-a-nyugati-vilag-torokorszag-es-kelet-azsia/")</f>
        <v>https://www.szaktars.hu/harmattan/view/modernizacio-es-ertekrend-a-nyugati-vilag-torokorszag-es-kelet-azsia/</v>
      </c>
    </row>
    <row r="808" spans="1:6" x14ac:dyDescent="0.25">
      <c r="A808" t="s">
        <v>2317</v>
      </c>
      <c r="B808" t="s">
        <v>2318</v>
      </c>
      <c r="C808" t="s">
        <v>2319</v>
      </c>
      <c r="D808">
        <v>2011</v>
      </c>
      <c r="E808" t="s">
        <v>2278</v>
      </c>
      <c r="F808" t="str">
        <f>HYPERLINK("https://www.szaktars.hu/harmattan/view/rendszervaltozasok-franciaorszagban/", "https://www.szaktars.hu/harmattan/view/rendszervaltozasok-franciaorszagban/")</f>
        <v>https://www.szaktars.hu/harmattan/view/rendszervaltozasok-franciaorszagban/</v>
      </c>
    </row>
    <row r="809" spans="1:6" x14ac:dyDescent="0.25">
      <c r="A809" t="s">
        <v>2320</v>
      </c>
      <c r="B809" t="s">
        <v>2321</v>
      </c>
      <c r="C809" t="s">
        <v>2322</v>
      </c>
      <c r="D809">
        <v>2003</v>
      </c>
      <c r="E809" t="s">
        <v>2278</v>
      </c>
      <c r="F809" t="str">
        <f>HYPERLINK("https://www.szaktars.hu/harmattan/view/pillanatkep-ket-iras-a-geopolitika-targykorebol/", "https://www.szaktars.hu/harmattan/view/pillanatkep-ket-iras-a-geopolitika-targykorebol/")</f>
        <v>https://www.szaktars.hu/harmattan/view/pillanatkep-ket-iras-a-geopolitika-targykorebol/</v>
      </c>
    </row>
    <row r="810" spans="1:6" x14ac:dyDescent="0.25">
      <c r="A810" t="s">
        <v>2323</v>
      </c>
      <c r="B810" t="s">
        <v>2324</v>
      </c>
      <c r="C810" t="s">
        <v>2325</v>
      </c>
      <c r="D810">
        <v>2010</v>
      </c>
      <c r="E810" t="s">
        <v>2278</v>
      </c>
      <c r="F810" t="str">
        <f>HYPERLINK("https://www.szaktars.hu/harmattan/view/az-iparpolitika-metamorfozisa-/", "https://www.szaktars.hu/harmattan/view/az-iparpolitika-metamorfozisa-/")</f>
        <v>https://www.szaktars.hu/harmattan/view/az-iparpolitika-metamorfozisa-/</v>
      </c>
    </row>
    <row r="811" spans="1:6" x14ac:dyDescent="0.25">
      <c r="A811" t="s">
        <v>2326</v>
      </c>
      <c r="B811" t="s">
        <v>2327</v>
      </c>
      <c r="C811" t="s">
        <v>2328</v>
      </c>
      <c r="D811">
        <v>2015</v>
      </c>
      <c r="E811" t="s">
        <v>2278</v>
      </c>
      <c r="F811" t="str">
        <f>HYPERLINK("https://www.szaktars.hu/harmattan/view/rablas-brusszelben-lobbistak-az-europai-unioban/", "https://www.szaktars.hu/harmattan/view/rablas-brusszelben-lobbistak-az-europai-unioban/")</f>
        <v>https://www.szaktars.hu/harmattan/view/rablas-brusszelben-lobbistak-az-europai-unioban/</v>
      </c>
    </row>
    <row r="812" spans="1:6" x14ac:dyDescent="0.25">
      <c r="A812" t="s">
        <v>2329</v>
      </c>
      <c r="B812" t="s">
        <v>2330</v>
      </c>
      <c r="C812" t="s">
        <v>2331</v>
      </c>
      <c r="D812">
        <v>2012</v>
      </c>
      <c r="E812" t="s">
        <v>2278</v>
      </c>
      <c r="F812" t="str">
        <f>HYPERLINK("https://www.szaktars.hu/harmattan/view/cenzorok-helyett-fekvorendorok/", "https://www.szaktars.hu/harmattan/view/cenzorok-helyett-fekvorendorok/")</f>
        <v>https://www.szaktars.hu/harmattan/view/cenzorok-helyett-fekvorendorok/</v>
      </c>
    </row>
    <row r="813" spans="1:6" x14ac:dyDescent="0.25">
      <c r="A813" t="s">
        <v>2332</v>
      </c>
      <c r="B813" t="s">
        <v>2333</v>
      </c>
      <c r="C813" t="s">
        <v>2334</v>
      </c>
      <c r="D813">
        <v>2015</v>
      </c>
      <c r="E813" t="s">
        <v>2278</v>
      </c>
      <c r="F813" t="str">
        <f>HYPERLINK("https://www.szaktars.hu/harmattan/view/ki/", "https://www.szaktars.hu/harmattan/view/ki/")</f>
        <v>https://www.szaktars.hu/harmattan/view/ki/</v>
      </c>
    </row>
    <row r="814" spans="1:6" x14ac:dyDescent="0.25">
      <c r="A814" t="s">
        <v>2335</v>
      </c>
      <c r="B814" t="s">
        <v>1145</v>
      </c>
      <c r="C814" t="s">
        <v>2336</v>
      </c>
      <c r="D814">
        <v>2014</v>
      </c>
      <c r="E814" t="s">
        <v>2278</v>
      </c>
      <c r="F814" t="str">
        <f>HYPERLINK("https://www.szaktars.hu/harmattan/view/padlorol-padlora-magyar-baloldal-2010-2014/", "https://www.szaktars.hu/harmattan/view/padlorol-padlora-magyar-baloldal-2010-2014/")</f>
        <v>https://www.szaktars.hu/harmattan/view/padlorol-padlora-magyar-baloldal-2010-2014/</v>
      </c>
    </row>
    <row r="815" spans="1:6" x14ac:dyDescent="0.25">
      <c r="A815" t="s">
        <v>2337</v>
      </c>
      <c r="B815" t="s">
        <v>1973</v>
      </c>
      <c r="C815" t="s">
        <v>2338</v>
      </c>
      <c r="D815">
        <v>2015</v>
      </c>
      <c r="E815" t="s">
        <v>2278</v>
      </c>
      <c r="F815" t="str">
        <f>HYPERLINK("https://www.szaktars.hu/harmattan/view/economic-and-social-conflicts-concerning-ubjective-well-being/", "https://www.szaktars.hu/harmattan/view/economic-and-social-conflicts-concerning-ubjective-well-being/")</f>
        <v>https://www.szaktars.hu/harmattan/view/economic-and-social-conflicts-concerning-ubjective-well-being/</v>
      </c>
    </row>
    <row r="816" spans="1:6" x14ac:dyDescent="0.25">
      <c r="A816" t="s">
        <v>2339</v>
      </c>
      <c r="B816" t="s">
        <v>1973</v>
      </c>
      <c r="C816" t="s">
        <v>2340</v>
      </c>
      <c r="D816">
        <v>2015</v>
      </c>
      <c r="E816" t="s">
        <v>2278</v>
      </c>
      <c r="F816" t="str">
        <f>HYPERLINK("https://www.szaktars.hu/harmattan/view/gazdasagi-es-tarsadalmi-konfliktusok-a-szubjektiv-jollet-es-biztonsagerzet-megkozeliteseben-tanulmanykotet/", "https://www.szaktars.hu/harmattan/view/gazdasagi-es-tarsadalmi-konfliktusok-a-szubjektiv-jollet-es-biztonsagerzet-megkozeliteseben-tanulmanykotet/")</f>
        <v>https://www.szaktars.hu/harmattan/view/gazdasagi-es-tarsadalmi-konfliktusok-a-szubjektiv-jollet-es-biztonsagerzet-megkozeliteseben-tanulmanykotet/</v>
      </c>
    </row>
    <row r="817" spans="1:6" x14ac:dyDescent="0.25">
      <c r="A817" t="s">
        <v>2341</v>
      </c>
      <c r="B817" t="s">
        <v>2342</v>
      </c>
      <c r="C817" t="s">
        <v>2343</v>
      </c>
      <c r="D817">
        <v>2012</v>
      </c>
      <c r="E817" t="s">
        <v>2278</v>
      </c>
      <c r="F817" t="str">
        <f>HYPERLINK("https://www.szaktars.hu/harmattan/view/engedelmeskedve-parancsolni-a-mexikoi-neozapatizmus-politikai-tanulsagai/", "https://www.szaktars.hu/harmattan/view/engedelmeskedve-parancsolni-a-mexikoi-neozapatizmus-politikai-tanulsagai/")</f>
        <v>https://www.szaktars.hu/harmattan/view/engedelmeskedve-parancsolni-a-mexikoi-neozapatizmus-politikai-tanulsagai/</v>
      </c>
    </row>
    <row r="818" spans="1:6" x14ac:dyDescent="0.25">
      <c r="A818" t="s">
        <v>2344</v>
      </c>
      <c r="B818" t="s">
        <v>2345</v>
      </c>
      <c r="C818" t="s">
        <v>2346</v>
      </c>
      <c r="D818">
        <v>2004</v>
      </c>
      <c r="E818" t="s">
        <v>2278</v>
      </c>
      <c r="F818" t="str">
        <f>HYPERLINK("https://www.szaktars.hu/harmattan/view/ne-az-en-nevemben-a-balkani-haboruk-az-iraki-haboru-es-magyarorszag/", "https://www.szaktars.hu/harmattan/view/ne-az-en-nevemben-a-balkani-haboruk-az-iraki-haboru-es-magyarorszag/")</f>
        <v>https://www.szaktars.hu/harmattan/view/ne-az-en-nevemben-a-balkani-haboruk-az-iraki-haboru-es-magyarorszag/</v>
      </c>
    </row>
    <row r="819" spans="1:6" x14ac:dyDescent="0.25">
      <c r="A819" t="s">
        <v>2347</v>
      </c>
      <c r="B819" t="s">
        <v>2348</v>
      </c>
      <c r="C819" t="s">
        <v>2349</v>
      </c>
      <c r="D819">
        <v>2014</v>
      </c>
      <c r="E819" t="s">
        <v>2278</v>
      </c>
      <c r="F819" t="str">
        <f>HYPERLINK("https://www.szaktars.hu/harmattan/view/a-balvanyok-ledolnek-ugye/", "https://www.szaktars.hu/harmattan/view/a-balvanyok-ledolnek-ugye/")</f>
        <v>https://www.szaktars.hu/harmattan/view/a-balvanyok-ledolnek-ugye/</v>
      </c>
    </row>
    <row r="820" spans="1:6" x14ac:dyDescent="0.25">
      <c r="A820" t="s">
        <v>2350</v>
      </c>
      <c r="B820" t="s">
        <v>2351</v>
      </c>
      <c r="C820" t="s">
        <v>2352</v>
      </c>
      <c r="D820" t="s">
        <v>149</v>
      </c>
      <c r="E820" t="s">
        <v>2278</v>
      </c>
      <c r="F820" t="str">
        <f>HYPERLINK("https://www.szaktars.hu/harmattan/view/politikai-valtozaselmelet-miert-valtoznak-partok-kormanyok-politikusok/", "https://www.szaktars.hu/harmattan/view/politikai-valtozaselmelet-miert-valtoznak-partok-kormanyok-politikusok/")</f>
        <v>https://www.szaktars.hu/harmattan/view/politikai-valtozaselmelet-miert-valtoznak-partok-kormanyok-politikusok/</v>
      </c>
    </row>
    <row r="821" spans="1:6" x14ac:dyDescent="0.25">
      <c r="A821" t="s">
        <v>2353</v>
      </c>
      <c r="B821" t="s">
        <v>2354</v>
      </c>
      <c r="C821" t="s">
        <v>2355</v>
      </c>
      <c r="D821">
        <v>2007</v>
      </c>
      <c r="E821" t="s">
        <v>2278</v>
      </c>
      <c r="F821" t="str">
        <f>HYPERLINK("https://www.szaktars.hu/harmattan/view/politikai-valtozaselmelet-miert-valtoznak-partok-kormanyok-politikusok-1/", "https://www.szaktars.hu/harmattan/view/politikai-valtozaselmelet-miert-valtoznak-partok-kormanyok-politikusok-1/")</f>
        <v>https://www.szaktars.hu/harmattan/view/politikai-valtozaselmelet-miert-valtoznak-partok-kormanyok-politikusok-1/</v>
      </c>
    </row>
    <row r="822" spans="1:6" x14ac:dyDescent="0.25">
      <c r="A822" t="s">
        <v>2356</v>
      </c>
      <c r="B822" t="s">
        <v>2357</v>
      </c>
      <c r="C822" t="s">
        <v>2358</v>
      </c>
      <c r="D822">
        <v>2016</v>
      </c>
      <c r="E822" t="s">
        <v>2278</v>
      </c>
      <c r="F822" t="str">
        <f>HYPERLINK("https://www.szaktars.hu/harmattan/view/geopillanat-a-21-szazad-megismeresenek-terkepe/", "https://www.szaktars.hu/harmattan/view/geopillanat-a-21-szazad-megismeresenek-terkepe/")</f>
        <v>https://www.szaktars.hu/harmattan/view/geopillanat-a-21-szazad-megismeresenek-terkepe/</v>
      </c>
    </row>
    <row r="823" spans="1:6" x14ac:dyDescent="0.25">
      <c r="A823" t="s">
        <v>2359</v>
      </c>
      <c r="B823" t="s">
        <v>2360</v>
      </c>
      <c r="C823" t="s">
        <v>2361</v>
      </c>
      <c r="D823">
        <v>2008</v>
      </c>
      <c r="E823" t="s">
        <v>2278</v>
      </c>
      <c r="F823" t="str">
        <f>HYPERLINK("https://www.szaktars.hu/harmattan/view/a-korbezart-politika-elemzesek-a-jelenkor-magyarorszagarol/", "https://www.szaktars.hu/harmattan/view/a-korbezart-politika-elemzesek-a-jelenkor-magyarorszagarol/")</f>
        <v>https://www.szaktars.hu/harmattan/view/a-korbezart-politika-elemzesek-a-jelenkor-magyarorszagarol/</v>
      </c>
    </row>
    <row r="824" spans="1:6" x14ac:dyDescent="0.25">
      <c r="A824" t="s">
        <v>2362</v>
      </c>
      <c r="B824" t="s">
        <v>2363</v>
      </c>
      <c r="C824" t="s">
        <v>2364</v>
      </c>
      <c r="D824">
        <v>2013</v>
      </c>
      <c r="E824" t="s">
        <v>2278</v>
      </c>
      <c r="F824" t="str">
        <f>HYPERLINK("https://www.szaktars.hu/harmattan/view/az-uj-europai-osszhang/", "https://www.szaktars.hu/harmattan/view/az-uj-europai-osszhang/")</f>
        <v>https://www.szaktars.hu/harmattan/view/az-uj-europai-osszhang/</v>
      </c>
    </row>
    <row r="825" spans="1:6" x14ac:dyDescent="0.25">
      <c r="A825" t="s">
        <v>2365</v>
      </c>
      <c r="B825" t="s">
        <v>2366</v>
      </c>
      <c r="C825" t="s">
        <v>2367</v>
      </c>
      <c r="D825">
        <v>2004</v>
      </c>
      <c r="E825" t="s">
        <v>2278</v>
      </c>
      <c r="F825" t="str">
        <f>HYPERLINK("https://www.szaktars.hu/harmattan/view/a-politika-szimbolikus-valosaga/", "https://www.szaktars.hu/harmattan/view/a-politika-szimbolikus-valosaga/")</f>
        <v>https://www.szaktars.hu/harmattan/view/a-politika-szimbolikus-valosaga/</v>
      </c>
    </row>
    <row r="826" spans="1:6" x14ac:dyDescent="0.25">
      <c r="A826" t="s">
        <v>2368</v>
      </c>
      <c r="B826" t="s">
        <v>2369</v>
      </c>
      <c r="C826" t="s">
        <v>2370</v>
      </c>
      <c r="D826">
        <v>2006</v>
      </c>
      <c r="E826" t="s">
        <v>2278</v>
      </c>
      <c r="F826" t="str">
        <f>HYPERLINK("https://www.szaktars.hu/harmattan/view/vita-europarol/", "https://www.szaktars.hu/harmattan/view/vita-europarol/")</f>
        <v>https://www.szaktars.hu/harmattan/view/vita-europarol/</v>
      </c>
    </row>
    <row r="827" spans="1:6" x14ac:dyDescent="0.25">
      <c r="A827" t="s">
        <v>2371</v>
      </c>
      <c r="B827" t="s">
        <v>2372</v>
      </c>
      <c r="C827" t="s">
        <v>2373</v>
      </c>
      <c r="D827">
        <v>2012</v>
      </c>
      <c r="E827" t="s">
        <v>2278</v>
      </c>
      <c r="F827" t="str">
        <f>HYPERLINK("https://www.szaktars.hu/harmattan/view/technika-vagy-ertek-a-jogallam-a-jogallami-ertekek-atadasa-es-az-eloiteletek-csokkentese-a-jogaszok-es-rendortisztek-kepzeseben/", "https://www.szaktars.hu/harmattan/view/technika-vagy-ertek-a-jogallam-a-jogallami-ertekek-atadasa-es-az-eloiteletek-csokkentese-a-jogaszok-es-rendortisztek-kepzeseben/")</f>
        <v>https://www.szaktars.hu/harmattan/view/technika-vagy-ertek-a-jogallam-a-jogallami-ertekek-atadasa-es-az-eloiteletek-csokkentese-a-jogaszok-es-rendortisztek-kepzeseben/</v>
      </c>
    </row>
    <row r="828" spans="1:6" x14ac:dyDescent="0.25">
      <c r="A828" t="s">
        <v>2374</v>
      </c>
      <c r="B828" t="s">
        <v>2375</v>
      </c>
      <c r="C828" t="s">
        <v>2376</v>
      </c>
      <c r="D828">
        <v>2011</v>
      </c>
      <c r="E828" t="s">
        <v>2278</v>
      </c>
      <c r="F828" t="str">
        <f>HYPERLINK("https://www.szaktars.hu/harmattan/view/kuzdelmes-integracio-az-europai-parlament-es-magyarorszag-2004-2009/", "https://www.szaktars.hu/harmattan/view/kuzdelmes-integracio-az-europai-parlament-es-magyarorszag-2004-2009/")</f>
        <v>https://www.szaktars.hu/harmattan/view/kuzdelmes-integracio-az-europai-parlament-es-magyarorszag-2004-2009/</v>
      </c>
    </row>
    <row r="829" spans="1:6" x14ac:dyDescent="0.25">
      <c r="A829" t="s">
        <v>2377</v>
      </c>
      <c r="B829" t="s">
        <v>2378</v>
      </c>
      <c r="C829" t="s">
        <v>2379</v>
      </c>
      <c r="D829">
        <v>2004</v>
      </c>
      <c r="E829" t="s">
        <v>2278</v>
      </c>
      <c r="F829" t="str">
        <f>HYPERLINK("https://www.szaktars.hu/harmattan/view/gondoljuk-ujra-a-polgari-radikalisokat/", "https://www.szaktars.hu/harmattan/view/gondoljuk-ujra-a-polgari-radikalisokat/")</f>
        <v>https://www.szaktars.hu/harmattan/view/gondoljuk-ujra-a-polgari-radikalisokat/</v>
      </c>
    </row>
    <row r="830" spans="1:6" x14ac:dyDescent="0.25">
      <c r="A830" t="s">
        <v>2380</v>
      </c>
      <c r="B830" t="s">
        <v>2378</v>
      </c>
      <c r="C830" t="s">
        <v>2381</v>
      </c>
      <c r="D830">
        <v>2004</v>
      </c>
      <c r="E830" t="s">
        <v>2278</v>
      </c>
      <c r="F830" t="str">
        <f>HYPERLINK("https://www.szaktars.hu/harmattan/view/kerdestilalom-eric-voegelin-politikai-filozofiaja/", "https://www.szaktars.hu/harmattan/view/kerdestilalom-eric-voegelin-politikai-filozofiaja/")</f>
        <v>https://www.szaktars.hu/harmattan/view/kerdestilalom-eric-voegelin-politikai-filozofiaja/</v>
      </c>
    </row>
    <row r="831" spans="1:6" x14ac:dyDescent="0.25">
      <c r="A831" t="s">
        <v>2382</v>
      </c>
      <c r="B831" t="s">
        <v>2383</v>
      </c>
      <c r="C831" t="s">
        <v>2384</v>
      </c>
      <c r="D831">
        <v>2012</v>
      </c>
      <c r="E831" t="s">
        <v>2278</v>
      </c>
      <c r="F831" t="str">
        <f>HYPERLINK("https://www.szaktars.hu/harmattan/view/orjito-mandragora-bevezetes-a-politikai-pszichiatriaba/", "https://www.szaktars.hu/harmattan/view/orjito-mandragora-bevezetes-a-politikai-pszichiatriaba/")</f>
        <v>https://www.szaktars.hu/harmattan/view/orjito-mandragora-bevezetes-a-politikai-pszichiatriaba/</v>
      </c>
    </row>
    <row r="832" spans="1:6" x14ac:dyDescent="0.25">
      <c r="A832" t="s">
        <v>2385</v>
      </c>
      <c r="B832" t="s">
        <v>2386</v>
      </c>
      <c r="C832" t="s">
        <v>2387</v>
      </c>
      <c r="D832">
        <v>2008</v>
      </c>
      <c r="E832" t="s">
        <v>2278</v>
      </c>
      <c r="F832" t="str">
        <f>HYPERLINK("https://www.szaktars.hu/harmattan/view/diskurzusok-a-civil-tarsadalomrol/", "https://www.szaktars.hu/harmattan/view/diskurzusok-a-civil-tarsadalomrol/")</f>
        <v>https://www.szaktars.hu/harmattan/view/diskurzusok-a-civil-tarsadalomrol/</v>
      </c>
    </row>
    <row r="833" spans="1:6" x14ac:dyDescent="0.25">
      <c r="A833" t="s">
        <v>2388</v>
      </c>
      <c r="B833" t="s">
        <v>2389</v>
      </c>
      <c r="C833" t="s">
        <v>2390</v>
      </c>
      <c r="D833">
        <v>2012</v>
      </c>
      <c r="E833" t="s">
        <v>2278</v>
      </c>
      <c r="F833" t="str">
        <f>HYPERLINK("https://www.szaktars.hu/harmattan/view/valsag-es-valtozas-utak-a-jobboldali-radikalizmushoz/", "https://www.szaktars.hu/harmattan/view/valsag-es-valtozas-utak-a-jobboldali-radikalizmushoz/")</f>
        <v>https://www.szaktars.hu/harmattan/view/valsag-es-valtozas-utak-a-jobboldali-radikalizmushoz/</v>
      </c>
    </row>
    <row r="834" spans="1:6" x14ac:dyDescent="0.25">
      <c r="A834" t="s">
        <v>2391</v>
      </c>
      <c r="B834" t="s">
        <v>2392</v>
      </c>
      <c r="C834" t="s">
        <v>2393</v>
      </c>
      <c r="D834">
        <v>2006</v>
      </c>
      <c r="E834" t="s">
        <v>2278</v>
      </c>
      <c r="F834" t="str">
        <f>HYPERLINK("https://www.szaktars.hu/harmattan/view/a-posztnemzeti-allapot-politikai-esszek/", "https://www.szaktars.hu/harmattan/view/a-posztnemzeti-allapot-politikai-esszek/")</f>
        <v>https://www.szaktars.hu/harmattan/view/a-posztnemzeti-allapot-politikai-esszek/</v>
      </c>
    </row>
    <row r="835" spans="1:6" x14ac:dyDescent="0.25">
      <c r="A835" t="s">
        <v>2394</v>
      </c>
      <c r="B835" t="s">
        <v>2395</v>
      </c>
      <c r="C835" t="s">
        <v>2396</v>
      </c>
      <c r="D835">
        <v>2006</v>
      </c>
      <c r="E835" t="s">
        <v>2278</v>
      </c>
      <c r="F835" t="str">
        <f>HYPERLINK("https://www.szaktars.hu/harmattan/view/bevezetes-a-nemzetkozi-intezmenyek-es-szervezetek-vilagaba/", "https://www.szaktars.hu/harmattan/view/bevezetes-a-nemzetkozi-intezmenyek-es-szervezetek-vilagaba/")</f>
        <v>https://www.szaktars.hu/harmattan/view/bevezetes-a-nemzetkozi-intezmenyek-es-szervezetek-vilagaba/</v>
      </c>
    </row>
    <row r="836" spans="1:6" x14ac:dyDescent="0.25">
      <c r="A836" t="s">
        <v>2397</v>
      </c>
      <c r="B836" t="s">
        <v>2398</v>
      </c>
      <c r="C836" t="s">
        <v>2399</v>
      </c>
      <c r="D836">
        <v>2015</v>
      </c>
      <c r="E836" t="s">
        <v>2278</v>
      </c>
      <c r="F836" t="str">
        <f>HYPERLINK("https://www.szaktars.hu/harmattan/view/antall-jozsef-a-rendszervaltoztato-miniszterelnok/", "https://www.szaktars.hu/harmattan/view/antall-jozsef-a-rendszervaltoztato-miniszterelnok/")</f>
        <v>https://www.szaktars.hu/harmattan/view/antall-jozsef-a-rendszervaltoztato-miniszterelnok/</v>
      </c>
    </row>
    <row r="837" spans="1:6" x14ac:dyDescent="0.25">
      <c r="A837" t="s">
        <v>2400</v>
      </c>
      <c r="B837" t="s">
        <v>1270</v>
      </c>
      <c r="C837" t="s">
        <v>2401</v>
      </c>
      <c r="D837">
        <v>2008</v>
      </c>
      <c r="E837" t="s">
        <v>2278</v>
      </c>
      <c r="F837" t="str">
        <f>HYPERLINK("https://www.szaktars.hu/harmattan/view/konzervativizmus-termeszetjog-rendszervaltas-politika-es-jogfilozofiai-tanulmanyok/", "https://www.szaktars.hu/harmattan/view/konzervativizmus-termeszetjog-rendszervaltas-politika-es-jogfilozofiai-tanulmanyok/")</f>
        <v>https://www.szaktars.hu/harmattan/view/konzervativizmus-termeszetjog-rendszervaltas-politika-es-jogfilozofiai-tanulmanyok/</v>
      </c>
    </row>
    <row r="838" spans="1:6" x14ac:dyDescent="0.25">
      <c r="A838" t="s">
        <v>2402</v>
      </c>
      <c r="B838" t="s">
        <v>2403</v>
      </c>
      <c r="C838" t="s">
        <v>2404</v>
      </c>
      <c r="D838">
        <v>2016</v>
      </c>
      <c r="E838" t="s">
        <v>2278</v>
      </c>
      <c r="F838" t="str">
        <f>HYPERLINK("https://www.szaktars.hu/harmattan/view/vandorlas-bevandorlas-milyen-kerdesek-milyen-valaszok/", "https://www.szaktars.hu/harmattan/view/vandorlas-bevandorlas-milyen-kerdesek-milyen-valaszok/")</f>
        <v>https://www.szaktars.hu/harmattan/view/vandorlas-bevandorlas-milyen-kerdesek-milyen-valaszok/</v>
      </c>
    </row>
    <row r="839" spans="1:6" x14ac:dyDescent="0.25">
      <c r="A839" t="s">
        <v>2405</v>
      </c>
      <c r="B839" t="s">
        <v>2406</v>
      </c>
      <c r="C839" t="s">
        <v>2407</v>
      </c>
      <c r="D839">
        <v>2016</v>
      </c>
      <c r="E839" t="s">
        <v>2278</v>
      </c>
      <c r="F839" t="str">
        <f>HYPERLINK("https://www.szaktars.hu/harmattan/view/regiok-europaban-adminisztrativ-strukturak-es-teruleti-identitas/", "https://www.szaktars.hu/harmattan/view/regiok-europaban-adminisztrativ-strukturak-es-teruleti-identitas/")</f>
        <v>https://www.szaktars.hu/harmattan/view/regiok-europaban-adminisztrativ-strukturak-es-teruleti-identitas/</v>
      </c>
    </row>
    <row r="840" spans="1:6" x14ac:dyDescent="0.25">
      <c r="A840" t="s">
        <v>2408</v>
      </c>
      <c r="B840" t="s">
        <v>2409</v>
      </c>
      <c r="C840" t="s">
        <v>2410</v>
      </c>
      <c r="D840">
        <v>2013</v>
      </c>
      <c r="E840" t="s">
        <v>2278</v>
      </c>
      <c r="F840" t="str">
        <f>HYPERLINK("https://www.szaktars.hu/harmattan/view/veszelybe-sodort-jovo/", "https://www.szaktars.hu/harmattan/view/veszelybe-sodort-jovo/")</f>
        <v>https://www.szaktars.hu/harmattan/view/veszelybe-sodort-jovo/</v>
      </c>
    </row>
    <row r="841" spans="1:6" x14ac:dyDescent="0.25">
      <c r="A841" t="s">
        <v>2411</v>
      </c>
      <c r="B841" t="s">
        <v>2412</v>
      </c>
      <c r="C841" t="s">
        <v>2413</v>
      </c>
      <c r="D841">
        <v>2012</v>
      </c>
      <c r="E841" t="s">
        <v>2278</v>
      </c>
      <c r="F841" t="str">
        <f>HYPERLINK("https://www.szaktars.hu/harmattan/view/a-valsag-masodik-hullama-elemzesek-az-orban-kormany-masodik-everol/", "https://www.szaktars.hu/harmattan/view/a-valsag-masodik-hullama-elemzesek-az-orban-kormany-masodik-everol/")</f>
        <v>https://www.szaktars.hu/harmattan/view/a-valsag-masodik-hullama-elemzesek-az-orban-kormany-masodik-everol/</v>
      </c>
    </row>
    <row r="842" spans="1:6" x14ac:dyDescent="0.25">
      <c r="A842" t="s">
        <v>2414</v>
      </c>
      <c r="B842" t="s">
        <v>2415</v>
      </c>
      <c r="C842" t="s">
        <v>2416</v>
      </c>
      <c r="D842">
        <v>2014</v>
      </c>
      <c r="E842" t="s">
        <v>2278</v>
      </c>
      <c r="F842" t="str">
        <f>HYPERLINK("https://www.szaktars.hu/harmattan/view/ezt-hozta-a-fulkeforradalom-elemzesek-az-orban-kormany-negy-everol/", "https://www.szaktars.hu/harmattan/view/ezt-hozta-a-fulkeforradalom-elemzesek-az-orban-kormany-negy-everol/")</f>
        <v>https://www.szaktars.hu/harmattan/view/ezt-hozta-a-fulkeforradalom-elemzesek-az-orban-kormany-negy-everol/</v>
      </c>
    </row>
    <row r="843" spans="1:6" x14ac:dyDescent="0.25">
      <c r="A843" t="s">
        <v>2417</v>
      </c>
      <c r="B843" t="s">
        <v>1297</v>
      </c>
      <c r="C843" t="s">
        <v>2418</v>
      </c>
      <c r="D843">
        <v>2016</v>
      </c>
      <c r="E843" t="s">
        <v>2278</v>
      </c>
      <c r="F843" t="str">
        <f>HYPERLINK("https://www.szaktars.hu/harmattan/view/politika-es-diskurzus-szabo-marton-politikafilozofiai-invencioja/", "https://www.szaktars.hu/harmattan/view/politika-es-diskurzus-szabo-marton-politikafilozofiai-invencioja/")</f>
        <v>https://www.szaktars.hu/harmattan/view/politika-es-diskurzus-szabo-marton-politikafilozofiai-invencioja/</v>
      </c>
    </row>
    <row r="844" spans="1:6" x14ac:dyDescent="0.25">
      <c r="A844" t="s">
        <v>2419</v>
      </c>
      <c r="B844" t="s">
        <v>2420</v>
      </c>
      <c r="C844" t="s">
        <v>2421</v>
      </c>
      <c r="D844">
        <v>2006</v>
      </c>
      <c r="E844" t="s">
        <v>2278</v>
      </c>
      <c r="F844" t="str">
        <f>HYPERLINK("https://www.szaktars.hu/harmattan/view/nemzet-identitas-es-politika-europaban/", "https://www.szaktars.hu/harmattan/view/nemzet-identitas-es-politika-europaban/")</f>
        <v>https://www.szaktars.hu/harmattan/view/nemzet-identitas-es-politika-europaban/</v>
      </c>
    </row>
    <row r="845" spans="1:6" x14ac:dyDescent="0.25">
      <c r="A845" t="s">
        <v>2422</v>
      </c>
      <c r="B845" t="s">
        <v>2423</v>
      </c>
      <c r="C845" t="s">
        <v>2424</v>
      </c>
      <c r="D845">
        <v>2005</v>
      </c>
      <c r="E845" t="s">
        <v>2278</v>
      </c>
      <c r="F845" t="str">
        <f>HYPERLINK("https://www.szaktars.hu/harmattan/view/vezer-es-demokracia-politikaelmeleti-tanulmanyok/", "https://www.szaktars.hu/harmattan/view/vezer-es-demokracia-politikaelmeleti-tanulmanyok/")</f>
        <v>https://www.szaktars.hu/harmattan/view/vezer-es-demokracia-politikaelmeleti-tanulmanyok/</v>
      </c>
    </row>
    <row r="846" spans="1:6" x14ac:dyDescent="0.25">
      <c r="A846" t="s">
        <v>2425</v>
      </c>
      <c r="B846" t="s">
        <v>2426</v>
      </c>
      <c r="C846" t="s">
        <v>2427</v>
      </c>
      <c r="D846">
        <v>2009</v>
      </c>
      <c r="E846" t="s">
        <v>2278</v>
      </c>
      <c r="F846" t="str">
        <f>HYPERLINK("https://www.szaktars.hu/harmattan/view/vallasi-fundamentalizmus-tradicio-politika-es-radikalizmus-az-iszlam-vilagban/", "https://www.szaktars.hu/harmattan/view/vallasi-fundamentalizmus-tradicio-politika-es-radikalizmus-az-iszlam-vilagban/")</f>
        <v>https://www.szaktars.hu/harmattan/view/vallasi-fundamentalizmus-tradicio-politika-es-radikalizmus-az-iszlam-vilagban/</v>
      </c>
    </row>
    <row r="847" spans="1:6" x14ac:dyDescent="0.25">
      <c r="A847" t="s">
        <v>2428</v>
      </c>
      <c r="B847" t="s">
        <v>2429</v>
      </c>
      <c r="C847" t="s">
        <v>2430</v>
      </c>
      <c r="D847">
        <v>2012</v>
      </c>
      <c r="E847" t="s">
        <v>2278</v>
      </c>
      <c r="F847" t="str">
        <f>HYPERLINK("https://www.szaktars.hu/harmattan/view/a-hatekonysag-mitosza-az-etnikai-profilalkotas-alkotmanyos-es-rendeszeti-kerdojelei/", "https://www.szaktars.hu/harmattan/view/a-hatekonysag-mitosza-az-etnikai-profilalkotas-alkotmanyos-es-rendeszeti-kerdojelei/")</f>
        <v>https://www.szaktars.hu/harmattan/view/a-hatekonysag-mitosza-az-etnikai-profilalkotas-alkotmanyos-es-rendeszeti-kerdojelei/</v>
      </c>
    </row>
    <row r="848" spans="1:6" x14ac:dyDescent="0.25">
      <c r="A848" t="s">
        <v>2431</v>
      </c>
      <c r="B848" t="s">
        <v>2432</v>
      </c>
      <c r="C848" t="s">
        <v>2433</v>
      </c>
      <c r="D848">
        <v>2009</v>
      </c>
      <c r="E848" t="s">
        <v>2278</v>
      </c>
      <c r="F848" t="str">
        <f>HYPERLINK("https://www.szaktars.hu/harmattan/view/sustainable-development-and-transboundary-co-operation-in-mountain-regions-the-alpine-and-the-carpathian-conventions/", "https://www.szaktars.hu/harmattan/view/sustainable-development-and-transboundary-co-operation-in-mountain-regions-the-alpine-and-the-carpathian-conventions/")</f>
        <v>https://www.szaktars.hu/harmattan/view/sustainable-development-and-transboundary-co-operation-in-mountain-regions-the-alpine-and-the-carpathian-conventions/</v>
      </c>
    </row>
    <row r="849" spans="1:6" x14ac:dyDescent="0.25">
      <c r="A849" t="s">
        <v>2434</v>
      </c>
      <c r="B849" t="s">
        <v>2435</v>
      </c>
      <c r="C849" t="s">
        <v>2436</v>
      </c>
      <c r="D849">
        <v>2015</v>
      </c>
      <c r="E849" t="s">
        <v>2278</v>
      </c>
      <c r="F849" t="str">
        <f>HYPERLINK("https://www.szaktars.hu/harmattan/view/a-rendszervaltas-igezeteben-huszonot-ev-egy-publicista-palyajan/", "https://www.szaktars.hu/harmattan/view/a-rendszervaltas-igezeteben-huszonot-ev-egy-publicista-palyajan/")</f>
        <v>https://www.szaktars.hu/harmattan/view/a-rendszervaltas-igezeteben-huszonot-ev-egy-publicista-palyajan/</v>
      </c>
    </row>
    <row r="850" spans="1:6" x14ac:dyDescent="0.25">
      <c r="A850" t="s">
        <v>2437</v>
      </c>
      <c r="B850" t="s">
        <v>2438</v>
      </c>
      <c r="C850" t="s">
        <v>2439</v>
      </c>
      <c r="D850">
        <v>2013</v>
      </c>
      <c r="E850" t="s">
        <v>2278</v>
      </c>
      <c r="F850" t="str">
        <f>HYPERLINK("https://www.szaktars.hu/harmattan/view/tarsadalom-demokracia-szolidaritas-tanulmanykotet-kozary-andrea-tiszteletere/", "https://www.szaktars.hu/harmattan/view/tarsadalom-demokracia-szolidaritas-tanulmanykotet-kozary-andrea-tiszteletere/")</f>
        <v>https://www.szaktars.hu/harmattan/view/tarsadalom-demokracia-szolidaritas-tanulmanykotet-kozary-andrea-tiszteletere/</v>
      </c>
    </row>
    <row r="851" spans="1:6" x14ac:dyDescent="0.25">
      <c r="A851" t="s">
        <v>2440</v>
      </c>
      <c r="B851" t="s">
        <v>2441</v>
      </c>
      <c r="C851" t="s">
        <v>2442</v>
      </c>
      <c r="D851">
        <v>2012</v>
      </c>
      <c r="E851" t="s">
        <v>2278</v>
      </c>
      <c r="F851" t="str">
        <f>HYPERLINK("https://www.szaktars.hu/harmattan/view/a-nyugattalan-magyarorszag-variaciok-hagyomanyvaltasra/", "https://www.szaktars.hu/harmattan/view/a-nyugattalan-magyarorszag-variaciok-hagyomanyvaltasra/")</f>
        <v>https://www.szaktars.hu/harmattan/view/a-nyugattalan-magyarorszag-variaciok-hagyomanyvaltasra/</v>
      </c>
    </row>
    <row r="852" spans="1:6" x14ac:dyDescent="0.25">
      <c r="A852" t="s">
        <v>2443</v>
      </c>
      <c r="B852" t="s">
        <v>2444</v>
      </c>
      <c r="C852" t="s">
        <v>2445</v>
      </c>
      <c r="D852">
        <v>2009</v>
      </c>
      <c r="E852" t="s">
        <v>2278</v>
      </c>
      <c r="F852" t="str">
        <f>HYPERLINK("https://www.szaktars.hu/harmattan/view/koztes-demokracia/", "https://www.szaktars.hu/harmattan/view/koztes-demokracia/")</f>
        <v>https://www.szaktars.hu/harmattan/view/koztes-demokracia/</v>
      </c>
    </row>
    <row r="853" spans="1:6" x14ac:dyDescent="0.25">
      <c r="A853" t="s">
        <v>2446</v>
      </c>
      <c r="B853" t="s">
        <v>2447</v>
      </c>
      <c r="C853" t="s">
        <v>2448</v>
      </c>
      <c r="D853">
        <v>2008</v>
      </c>
      <c r="E853" t="s">
        <v>2278</v>
      </c>
      <c r="F853" t="str">
        <f>HYPERLINK("https://www.szaktars.hu/harmattan/view/konszenzus-es-kuzdelem/", "https://www.szaktars.hu/harmattan/view/konszenzus-es-kuzdelem/")</f>
        <v>https://www.szaktars.hu/harmattan/view/konszenzus-es-kuzdelem/</v>
      </c>
    </row>
    <row r="854" spans="1:6" x14ac:dyDescent="0.25">
      <c r="A854" t="s">
        <v>2449</v>
      </c>
      <c r="B854" t="s">
        <v>2450</v>
      </c>
      <c r="C854" t="s">
        <v>2451</v>
      </c>
      <c r="D854">
        <v>2009</v>
      </c>
      <c r="E854" t="s">
        <v>2278</v>
      </c>
      <c r="F854" t="str">
        <f>HYPERLINK("https://www.szaktars.hu/harmattan/view/kuzdelem-az-idovel-posztmodern-politologiak-a-cselekvo-politika-fogalomtortenete/", "https://www.szaktars.hu/harmattan/view/kuzdelem-az-idovel-posztmodern-politologiak-a-cselekvo-politika-fogalomtortenete/")</f>
        <v>https://www.szaktars.hu/harmattan/view/kuzdelem-az-idovel-posztmodern-politologiak-a-cselekvo-politika-fogalomtortenete/</v>
      </c>
    </row>
    <row r="855" spans="1:6" x14ac:dyDescent="0.25">
      <c r="A855" t="s">
        <v>2452</v>
      </c>
      <c r="B855" t="s">
        <v>2453</v>
      </c>
      <c r="C855" t="s">
        <v>2454</v>
      </c>
      <c r="D855">
        <v>2010</v>
      </c>
      <c r="E855" t="s">
        <v>2278</v>
      </c>
      <c r="F855" t="str">
        <f>HYPERLINK("https://www.szaktars.hu/harmattan/view/az-olasz-baloldal-antonio-gramscitol-a-demokratikus-partig/", "https://www.szaktars.hu/harmattan/view/az-olasz-baloldal-antonio-gramscitol-a-demokratikus-partig/")</f>
        <v>https://www.szaktars.hu/harmattan/view/az-olasz-baloldal-antonio-gramscitol-a-demokratikus-partig/</v>
      </c>
    </row>
    <row r="856" spans="1:6" x14ac:dyDescent="0.25">
      <c r="A856" t="s">
        <v>2455</v>
      </c>
      <c r="B856" t="s">
        <v>2456</v>
      </c>
      <c r="C856" t="s">
        <v>2457</v>
      </c>
      <c r="D856">
        <v>2016</v>
      </c>
      <c r="E856" t="s">
        <v>2278</v>
      </c>
      <c r="F856" t="str">
        <f>HYPERLINK("https://www.szaktars.hu/harmattan/view/globalizacio-regionalizacio-es-nemzetallamisag-tanulmanyok-a-nemzetkozi-kapcsolatok-es-az-ujkori-tortenelem-targykorebol/", "https://www.szaktars.hu/harmattan/view/globalizacio-regionalizacio-es-nemzetallamisag-tanulmanyok-a-nemzetkozi-kapcsolatok-es-az-ujkori-tortenelem-targykorebol/")</f>
        <v>https://www.szaktars.hu/harmattan/view/globalizacio-regionalizacio-es-nemzetallamisag-tanulmanyok-a-nemzetkozi-kapcsolatok-es-az-ujkori-tortenelem-targykorebol/</v>
      </c>
    </row>
    <row r="857" spans="1:6" x14ac:dyDescent="0.25">
      <c r="A857" t="s">
        <v>2458</v>
      </c>
      <c r="B857" t="s">
        <v>2459</v>
      </c>
      <c r="C857" t="s">
        <v>2460</v>
      </c>
      <c r="D857">
        <v>2012</v>
      </c>
      <c r="E857" t="s">
        <v>2278</v>
      </c>
      <c r="F857" t="str">
        <f>HYPERLINK("https://www.szaktars.hu/harmattan/view/civil-tarsadalom-es-erdekkepviselet-kozep-europaban-lengyel-magyar-konferencia-a-kozos-elnokseg-eveben/", "https://www.szaktars.hu/harmattan/view/civil-tarsadalom-es-erdekkepviselet-kozep-europaban-lengyel-magyar-konferencia-a-kozos-elnokseg-eveben/")</f>
        <v>https://www.szaktars.hu/harmattan/view/civil-tarsadalom-es-erdekkepviselet-kozep-europaban-lengyel-magyar-konferencia-a-kozos-elnokseg-eveben/</v>
      </c>
    </row>
    <row r="858" spans="1:6" x14ac:dyDescent="0.25">
      <c r="A858" t="s">
        <v>2461</v>
      </c>
      <c r="B858" t="s">
        <v>2462</v>
      </c>
      <c r="C858" t="s">
        <v>2463</v>
      </c>
      <c r="D858">
        <v>2013</v>
      </c>
      <c r="E858" t="s">
        <v>2278</v>
      </c>
      <c r="F858" t="str">
        <f>HYPERLINK("https://www.szaktars.hu/harmattan/view/a-politika-ertekvalsagban-a-demokratikus-politikai-kultura-keresese/", "https://www.szaktars.hu/harmattan/view/a-politika-ertekvalsagban-a-demokratikus-politikai-kultura-keresese/")</f>
        <v>https://www.szaktars.hu/harmattan/view/a-politika-ertekvalsagban-a-demokratikus-politikai-kultura-keresese/</v>
      </c>
    </row>
    <row r="859" spans="1:6" x14ac:dyDescent="0.25">
      <c r="A859" t="s">
        <v>2464</v>
      </c>
      <c r="B859" t="s">
        <v>2462</v>
      </c>
      <c r="C859" t="s">
        <v>2465</v>
      </c>
      <c r="D859">
        <v>2012</v>
      </c>
      <c r="E859" t="s">
        <v>2278</v>
      </c>
      <c r="F859" t="str">
        <f>HYPERLINK("https://www.szaktars.hu/harmattan/view/ertekvalsag-a-politikaban-a-demokratikus-politikai-kultura-keresese/", "https://www.szaktars.hu/harmattan/view/ertekvalsag-a-politikaban-a-demokratikus-politikai-kultura-keresese/")</f>
        <v>https://www.szaktars.hu/harmattan/view/ertekvalsag-a-politikaban-a-demokratikus-politikai-kultura-keresese/</v>
      </c>
    </row>
    <row r="860" spans="1:6" x14ac:dyDescent="0.25">
      <c r="A860" t="s">
        <v>2466</v>
      </c>
      <c r="B860" t="s">
        <v>2462</v>
      </c>
      <c r="C860" t="s">
        <v>2467</v>
      </c>
      <c r="D860">
        <v>2015</v>
      </c>
      <c r="E860" t="s">
        <v>2278</v>
      </c>
      <c r="F860" t="str">
        <f>HYPERLINK("https://www.szaktars.hu/harmattan/view/globalizacio-es-nemzet-ahogyan-az-emberek-latjak/", "https://www.szaktars.hu/harmattan/view/globalizacio-es-nemzet-ahogyan-az-emberek-latjak/")</f>
        <v>https://www.szaktars.hu/harmattan/view/globalizacio-es-nemzet-ahogyan-az-emberek-latjak/</v>
      </c>
    </row>
    <row r="861" spans="1:6" x14ac:dyDescent="0.25">
      <c r="A861" t="s">
        <v>2468</v>
      </c>
      <c r="B861" t="s">
        <v>2462</v>
      </c>
      <c r="C861" t="s">
        <v>2469</v>
      </c>
      <c r="D861">
        <v>2015</v>
      </c>
      <c r="E861" t="s">
        <v>2278</v>
      </c>
      <c r="F861" t="str">
        <f>HYPERLINK("https://www.szaktars.hu/harmattan/view/het-valasztas-magyarorszagon-1989-2014-orszaggyulesi-valasztasok-kezikonyve/", "https://www.szaktars.hu/harmattan/view/het-valasztas-magyarorszagon-1989-2014-orszaggyulesi-valasztasok-kezikonyve/")</f>
        <v>https://www.szaktars.hu/harmattan/view/het-valasztas-magyarorszagon-1989-2014-orszaggyulesi-valasztasok-kezikonyve/</v>
      </c>
    </row>
    <row r="862" spans="1:6" x14ac:dyDescent="0.25">
      <c r="A862" t="s">
        <v>2470</v>
      </c>
      <c r="B862" t="s">
        <v>2462</v>
      </c>
      <c r="C862" t="s">
        <v>2471</v>
      </c>
      <c r="D862">
        <v>2015</v>
      </c>
      <c r="E862" t="s">
        <v>2278</v>
      </c>
      <c r="F862" t="str">
        <f>HYPERLINK("https://www.szaktars.hu/harmattan/view/politikai-helyzetkep-2014-ket-valasztas-kozott-az-orszag/", "https://www.szaktars.hu/harmattan/view/politikai-helyzetkep-2014-ket-valasztas-kozott-az-orszag/")</f>
        <v>https://www.szaktars.hu/harmattan/view/politikai-helyzetkep-2014-ket-valasztas-kozott-az-orszag/</v>
      </c>
    </row>
    <row r="863" spans="1:6" x14ac:dyDescent="0.25">
      <c r="A863" t="s">
        <v>2472</v>
      </c>
      <c r="B863" t="s">
        <v>2473</v>
      </c>
      <c r="C863" t="s">
        <v>2474</v>
      </c>
      <c r="D863">
        <v>2016</v>
      </c>
      <c r="E863" t="s">
        <v>2278</v>
      </c>
      <c r="F863" t="str">
        <f>HYPERLINK("https://www.szaktars.hu/harmattan/view/sokszinu-politikatudomany-bayer-jozsef-70-szuletesnapjara/", "https://www.szaktars.hu/harmattan/view/sokszinu-politikatudomany-bayer-jozsef-70-szuletesnapjara/")</f>
        <v>https://www.szaktars.hu/harmattan/view/sokszinu-politikatudomany-bayer-jozsef-70-szuletesnapjara/</v>
      </c>
    </row>
    <row r="864" spans="1:6" x14ac:dyDescent="0.25">
      <c r="A864" t="s">
        <v>2475</v>
      </c>
      <c r="B864" t="s">
        <v>2476</v>
      </c>
      <c r="C864" t="s">
        <v>2477</v>
      </c>
      <c r="D864">
        <v>2008</v>
      </c>
      <c r="E864" t="s">
        <v>2278</v>
      </c>
      <c r="F864" t="str">
        <f>HYPERLINK("https://www.szaktars.hu/harmattan/view/gazdasagi-es-szakmai-kamarak-magyarorszagon-es-az-europai-unioban/", "https://www.szaktars.hu/harmattan/view/gazdasagi-es-szakmai-kamarak-magyarorszagon-es-az-europai-unioban/")</f>
        <v>https://www.szaktars.hu/harmattan/view/gazdasagi-es-szakmai-kamarak-magyarorszagon-es-az-europai-unioban/</v>
      </c>
    </row>
    <row r="865" spans="1:6" x14ac:dyDescent="0.25">
      <c r="A865" t="s">
        <v>2478</v>
      </c>
      <c r="B865" t="s">
        <v>244</v>
      </c>
      <c r="C865" t="s">
        <v>2479</v>
      </c>
      <c r="D865">
        <v>2013</v>
      </c>
      <c r="E865" t="s">
        <v>2278</v>
      </c>
      <c r="F865" t="str">
        <f>HYPERLINK("https://www.szaktars.hu/harmattan/view/lathatatlan-tortenelem-politikai-anekdotak-1942-2012/", "https://www.szaktars.hu/harmattan/view/lathatatlan-tortenelem-politikai-anekdotak-1942-2012/")</f>
        <v>https://www.szaktars.hu/harmattan/view/lathatatlan-tortenelem-politikai-anekdotak-1942-2012/</v>
      </c>
    </row>
    <row r="866" spans="1:6" x14ac:dyDescent="0.25">
      <c r="A866" t="s">
        <v>2480</v>
      </c>
      <c r="B866" t="s">
        <v>244</v>
      </c>
      <c r="C866" t="s">
        <v>2481</v>
      </c>
      <c r="D866">
        <v>2009</v>
      </c>
      <c r="E866" t="s">
        <v>2278</v>
      </c>
      <c r="F866" t="str">
        <f>HYPERLINK("https://www.szaktars.hu/harmattan/view/nemzet-es-szocializacio/", "https://www.szaktars.hu/harmattan/view/nemzet-es-szocializacio/")</f>
        <v>https://www.szaktars.hu/harmattan/view/nemzet-es-szocializacio/</v>
      </c>
    </row>
    <row r="867" spans="1:6" x14ac:dyDescent="0.25">
      <c r="A867" t="s">
        <v>2482</v>
      </c>
      <c r="B867" t="s">
        <v>2483</v>
      </c>
      <c r="C867" t="s">
        <v>2484</v>
      </c>
      <c r="D867">
        <v>2006</v>
      </c>
      <c r="E867" t="s">
        <v>2278</v>
      </c>
      <c r="F867" t="str">
        <f>HYPERLINK("https://www.szaktars.hu/harmattan/view/fideszvalosag-posztmodern-politologiak/", "https://www.szaktars.hu/harmattan/view/fideszvalosag-posztmodern-politologiak/")</f>
        <v>https://www.szaktars.hu/harmattan/view/fideszvalosag-posztmodern-politologiak/</v>
      </c>
    </row>
    <row r="868" spans="1:6" x14ac:dyDescent="0.25">
      <c r="A868" t="s">
        <v>2485</v>
      </c>
      <c r="B868" t="s">
        <v>2486</v>
      </c>
      <c r="C868" t="s">
        <v>2487</v>
      </c>
      <c r="D868">
        <v>2003</v>
      </c>
      <c r="E868" t="s">
        <v>2278</v>
      </c>
      <c r="F868" t="str">
        <f>HYPERLINK("https://www.szaktars.hu/harmattan/view/a-diszkurziv-politikatudomany-alapjai/", "https://www.szaktars.hu/harmattan/view/a-diszkurziv-politikatudomany-alapjai/")</f>
        <v>https://www.szaktars.hu/harmattan/view/a-diszkurziv-politikatudomany-alapjai/</v>
      </c>
    </row>
    <row r="869" spans="1:6" x14ac:dyDescent="0.25">
      <c r="A869" t="s">
        <v>2488</v>
      </c>
      <c r="B869" t="s">
        <v>2486</v>
      </c>
      <c r="C869" t="s">
        <v>2489</v>
      </c>
      <c r="D869">
        <v>2014</v>
      </c>
      <c r="E869" t="s">
        <v>2278</v>
      </c>
      <c r="F869" t="str">
        <f>HYPERLINK("https://www.szaktars.hu/harmattan/view/kotojelek-posztmodern-politologiak/", "https://www.szaktars.hu/harmattan/view/kotojelek-posztmodern-politologiak/")</f>
        <v>https://www.szaktars.hu/harmattan/view/kotojelek-posztmodern-politologiak/</v>
      </c>
    </row>
    <row r="870" spans="1:6" x14ac:dyDescent="0.25">
      <c r="A870" t="s">
        <v>2490</v>
      </c>
      <c r="B870" t="s">
        <v>2486</v>
      </c>
      <c r="C870" t="s">
        <v>2491</v>
      </c>
      <c r="D870">
        <v>2011</v>
      </c>
      <c r="E870" t="s">
        <v>2278</v>
      </c>
      <c r="F870" t="str">
        <f>HYPERLINK("https://www.szaktars.hu/harmattan/view/politikai-episztemologia/", "https://www.szaktars.hu/harmattan/view/politikai-episztemologia/")</f>
        <v>https://www.szaktars.hu/harmattan/view/politikai-episztemologia/</v>
      </c>
    </row>
    <row r="871" spans="1:6" x14ac:dyDescent="0.25">
      <c r="A871" t="s">
        <v>2492</v>
      </c>
      <c r="B871" t="s">
        <v>2486</v>
      </c>
      <c r="C871" t="s">
        <v>2493</v>
      </c>
      <c r="D871">
        <v>2006</v>
      </c>
      <c r="E871" t="s">
        <v>2278</v>
      </c>
      <c r="F871" t="str">
        <f>HYPERLINK("https://www.szaktars.hu/harmattan/view/politikai-idegen-posztmodern-politologiak/", "https://www.szaktars.hu/harmattan/view/politikai-idegen-posztmodern-politologiak/")</f>
        <v>https://www.szaktars.hu/harmattan/view/politikai-idegen-posztmodern-politologiak/</v>
      </c>
    </row>
    <row r="872" spans="1:6" x14ac:dyDescent="0.25">
      <c r="A872" t="s">
        <v>2494</v>
      </c>
      <c r="B872" t="s">
        <v>2495</v>
      </c>
      <c r="C872" t="s">
        <v>2496</v>
      </c>
      <c r="D872">
        <v>2012</v>
      </c>
      <c r="E872" t="s">
        <v>2278</v>
      </c>
      <c r="F872" t="str">
        <f>HYPERLINK("https://www.szaktars.hu/harmattan/view/globalis-valsag-magyar-valsag-alternativak/", "https://www.szaktars.hu/harmattan/view/globalis-valsag-magyar-valsag-alternativak/")</f>
        <v>https://www.szaktars.hu/harmattan/view/globalis-valsag-magyar-valsag-alternativak/</v>
      </c>
    </row>
    <row r="873" spans="1:6" x14ac:dyDescent="0.25">
      <c r="A873" t="s">
        <v>2497</v>
      </c>
      <c r="B873" t="s">
        <v>2498</v>
      </c>
      <c r="C873" t="s">
        <v>2499</v>
      </c>
      <c r="D873">
        <v>2002</v>
      </c>
      <c r="E873" t="s">
        <v>2278</v>
      </c>
      <c r="F873" t="str">
        <f>HYPERLINK("https://www.szaktars.hu/harmattan/view/elmeletek-az-europai-egysegrol-i-valogatas-az-europa-gondolat-tortenetebol/", "https://www.szaktars.hu/harmattan/view/elmeletek-az-europai-egysegrol-i-valogatas-az-europa-gondolat-tortenetebol/")</f>
        <v>https://www.szaktars.hu/harmattan/view/elmeletek-az-europai-egysegrol-i-valogatas-az-europa-gondolat-tortenetebol/</v>
      </c>
    </row>
    <row r="874" spans="1:6" x14ac:dyDescent="0.25">
      <c r="A874" t="s">
        <v>2500</v>
      </c>
      <c r="B874" t="s">
        <v>2498</v>
      </c>
      <c r="C874" t="s">
        <v>2501</v>
      </c>
      <c r="D874">
        <v>2004</v>
      </c>
      <c r="E874" t="s">
        <v>2278</v>
      </c>
      <c r="F874" t="str">
        <f>HYPERLINK("https://www.szaktars.hu/harmattan/view/elmeletek-az-europai-egysegrol-ii-valogatas-az-eropa-gondolat-tortenetebol/", "https://www.szaktars.hu/harmattan/view/elmeletek-az-europai-egysegrol-ii-valogatas-az-eropa-gondolat-tortenetebol/")</f>
        <v>https://www.szaktars.hu/harmattan/view/elmeletek-az-europai-egysegrol-ii-valogatas-az-eropa-gondolat-tortenetebol/</v>
      </c>
    </row>
    <row r="875" spans="1:6" x14ac:dyDescent="0.25">
      <c r="A875" t="s">
        <v>2502</v>
      </c>
      <c r="B875" t="s">
        <v>2503</v>
      </c>
      <c r="C875" t="s">
        <v>2504</v>
      </c>
      <c r="D875">
        <v>2011</v>
      </c>
      <c r="E875" t="s">
        <v>2278</v>
      </c>
      <c r="F875" t="str">
        <f>HYPERLINK("https://www.szaktars.hu/harmattan/view/az-egyseges-europa-az-europai-integracio-tortenete/", "https://www.szaktars.hu/harmattan/view/az-egyseges-europa-az-europai-integracio-tortenete/")</f>
        <v>https://www.szaktars.hu/harmattan/view/az-egyseges-europa-az-europai-integracio-tortenete/</v>
      </c>
    </row>
    <row r="876" spans="1:6" x14ac:dyDescent="0.25">
      <c r="A876" t="s">
        <v>2505</v>
      </c>
      <c r="B876" t="s">
        <v>2506</v>
      </c>
      <c r="C876" t="s">
        <v>2507</v>
      </c>
      <c r="D876">
        <v>2016</v>
      </c>
      <c r="E876" t="s">
        <v>2278</v>
      </c>
      <c r="F876" t="str">
        <f>HYPERLINK("https://www.szaktars.hu/harmattan/view/a-hatalom-kodeben-bevezetes-a-realista-politikaelmeletbe/", "https://www.szaktars.hu/harmattan/view/a-hatalom-kodeben-bevezetes-a-realista-politikaelmeletbe/")</f>
        <v>https://www.szaktars.hu/harmattan/view/a-hatalom-kodeben-bevezetes-a-realista-politikaelmeletbe/</v>
      </c>
    </row>
    <row r="877" spans="1:6" x14ac:dyDescent="0.25">
      <c r="A877" t="s">
        <v>2508</v>
      </c>
      <c r="B877" t="s">
        <v>2506</v>
      </c>
      <c r="C877" t="s">
        <v>2509</v>
      </c>
      <c r="D877">
        <v>2010</v>
      </c>
      <c r="E877" t="s">
        <v>2278</v>
      </c>
      <c r="F877" t="str">
        <f>HYPERLINK("https://www.szaktars.hu/harmattan/view/az-antalli-pillanat-a-nemzeti-tortenelem-szerepe-a-magyar-politikai-diskurzusban-1989-1993/", "https://www.szaktars.hu/harmattan/view/az-antalli-pillanat-a-nemzeti-tortenelem-szerepe-a-magyar-politikai-diskurzusban-1989-1993/")</f>
        <v>https://www.szaktars.hu/harmattan/view/az-antalli-pillanat-a-nemzeti-tortenelem-szerepe-a-magyar-politikai-diskurzusban-1989-1993/</v>
      </c>
    </row>
    <row r="878" spans="1:6" x14ac:dyDescent="0.25">
      <c r="A878" t="s">
        <v>2510</v>
      </c>
      <c r="B878" t="s">
        <v>2511</v>
      </c>
      <c r="C878" t="s">
        <v>2512</v>
      </c>
      <c r="D878">
        <v>2015</v>
      </c>
      <c r="E878" t="s">
        <v>2278</v>
      </c>
      <c r="F878" t="str">
        <f>HYPERLINK("https://www.szaktars.hu/harmattan/view/a-kisebbsegi-teruleti-autonomia-elmelete-es-gyakorlata-nemzetkozi-jogi-es-osszehasonlito-jogi-analizis/", "https://www.szaktars.hu/harmattan/view/a-kisebbsegi-teruleti-autonomia-elmelete-es-gyakorlata-nemzetkozi-jogi-es-osszehasonlito-jogi-analizis/")</f>
        <v>https://www.szaktars.hu/harmattan/view/a-kisebbsegi-teruleti-autonomia-elmelete-es-gyakorlata-nemzetkozi-jogi-es-osszehasonlito-jogi-analizis/</v>
      </c>
    </row>
    <row r="879" spans="1:6" x14ac:dyDescent="0.25">
      <c r="A879" t="s">
        <v>2513</v>
      </c>
      <c r="B879" t="s">
        <v>2514</v>
      </c>
      <c r="C879" t="s">
        <v>2515</v>
      </c>
      <c r="D879">
        <v>2015</v>
      </c>
      <c r="E879" t="s">
        <v>2278</v>
      </c>
      <c r="F879" t="str">
        <f>HYPERLINK("https://www.szaktars.hu/harmattan/view/a-harmadik-magyar-koztarsasag-szuletese-emberek-ideologiak-es-intezmenyek/", "https://www.szaktars.hu/harmattan/view/a-harmadik-magyar-koztarsasag-szuletese-emberek-ideologiak-es-intezmenyek/")</f>
        <v>https://www.szaktars.hu/harmattan/view/a-harmadik-magyar-koztarsasag-szuletese-emberek-ideologiak-es-intezmenyek/</v>
      </c>
    </row>
    <row r="880" spans="1:6" x14ac:dyDescent="0.25">
      <c r="A880" t="s">
        <v>2516</v>
      </c>
      <c r="B880" t="s">
        <v>2517</v>
      </c>
      <c r="C880" t="s">
        <v>2518</v>
      </c>
      <c r="D880">
        <v>2013</v>
      </c>
      <c r="E880" t="s">
        <v>2278</v>
      </c>
      <c r="F880" t="str">
        <f>HYPERLINK("https://www.szaktars.hu/harmattan/view/europai-kaleidoszkop-az-europai-unio-es-a-kisebbsegek/", "https://www.szaktars.hu/harmattan/view/europai-kaleidoszkop-az-europai-unio-es-a-kisebbsegek/")</f>
        <v>https://www.szaktars.hu/harmattan/view/europai-kaleidoszkop-az-europai-unio-es-a-kisebbsegek/</v>
      </c>
    </row>
    <row r="881" spans="1:6" x14ac:dyDescent="0.25">
      <c r="A881" t="s">
        <v>2519</v>
      </c>
      <c r="B881" t="s">
        <v>2520</v>
      </c>
      <c r="C881" t="s">
        <v>2521</v>
      </c>
      <c r="D881">
        <v>2010</v>
      </c>
      <c r="E881" t="s">
        <v>2278</v>
      </c>
      <c r="F881" t="str">
        <f>HYPERLINK("https://www.szaktars.hu/harmattan/view/bevezetes-a-vilagrendszer-elmeletbe/", "https://www.szaktars.hu/harmattan/view/bevezetes-a-vilagrendszer-elmeletbe/")</f>
        <v>https://www.szaktars.hu/harmattan/view/bevezetes-a-vilagrendszer-elmeletbe/</v>
      </c>
    </row>
    <row r="882" spans="1:6" x14ac:dyDescent="0.25">
      <c r="A882" t="s">
        <v>2522</v>
      </c>
      <c r="B882" t="s">
        <v>2523</v>
      </c>
      <c r="C882" t="s">
        <v>2524</v>
      </c>
      <c r="D882">
        <v>2009</v>
      </c>
      <c r="E882" t="s">
        <v>2278</v>
      </c>
      <c r="F882" t="str">
        <f>HYPERLINK("https://www.szaktars.hu/harmattan/view/ertekezesek-a-materialista-tortenetfelfogasrol-tortenelemelmeleti-es-politologiai-tanulmanyok/", "https://www.szaktars.hu/harmattan/view/ertekezesek-a-materialista-tortenetfelfogasrol-tortenelemelmeleti-es-politologiai-tanulmanyok/")</f>
        <v>https://www.szaktars.hu/harmattan/view/ertekezesek-a-materialista-tortenetfelfogasrol-tortenelemelmeleti-es-politologiai-tanulmanyok/</v>
      </c>
    </row>
    <row r="883" spans="1:6" x14ac:dyDescent="0.25">
      <c r="A883" t="s">
        <v>2525</v>
      </c>
      <c r="B883" t="s">
        <v>2526</v>
      </c>
      <c r="C883" t="s">
        <v>2527</v>
      </c>
      <c r="D883">
        <v>2009</v>
      </c>
      <c r="E883" t="s">
        <v>2278</v>
      </c>
      <c r="F883" t="str">
        <f>HYPERLINK("https://www.szaktars.hu/harmattan/view/csapdaba-kerult-demokracia-tanulmanyok-elemzesek-publicisztikak/", "https://www.szaktars.hu/harmattan/view/csapdaba-kerult-demokracia-tanulmanyok-elemzesek-publicisztikak/")</f>
        <v>https://www.szaktars.hu/harmattan/view/csapdaba-kerult-demokracia-tanulmanyok-elemzesek-publicisztikak/</v>
      </c>
    </row>
    <row r="884" spans="1:6" x14ac:dyDescent="0.25">
      <c r="A884" t="s">
        <v>2528</v>
      </c>
      <c r="B884" t="s">
        <v>2526</v>
      </c>
      <c r="C884" t="s">
        <v>2529</v>
      </c>
      <c r="D884">
        <v>2015</v>
      </c>
      <c r="E884" t="s">
        <v>2278</v>
      </c>
      <c r="F884" t="str">
        <f>HYPERLINK("https://www.szaktars.hu/harmattan/view/leviatan-ebredese-avagy-illiberalis-e-a-magyar-demokracia/", "https://www.szaktars.hu/harmattan/view/leviatan-ebredese-avagy-illiberalis-e-a-magyar-demokracia/")</f>
        <v>https://www.szaktars.hu/harmattan/view/leviatan-ebredese-avagy-illiberalis-e-a-magyar-demokracia/</v>
      </c>
    </row>
    <row r="885" spans="1:6" x14ac:dyDescent="0.25">
      <c r="A885" t="s">
        <v>2530</v>
      </c>
      <c r="B885" t="s">
        <v>2531</v>
      </c>
      <c r="C885" t="s">
        <v>2532</v>
      </c>
      <c r="D885">
        <v>2013</v>
      </c>
      <c r="E885" t="s">
        <v>2533</v>
      </c>
      <c r="F885" t="str">
        <f>HYPERLINK("https://www.szaktars.hu/harmattan/view/pszichofitness-kacagas-kocogas-lazitas/", "https://www.szaktars.hu/harmattan/view/pszichofitness-kacagas-kocogas-lazitas/")</f>
        <v>https://www.szaktars.hu/harmattan/view/pszichofitness-kacagas-kocogas-lazitas/</v>
      </c>
    </row>
    <row r="886" spans="1:6" x14ac:dyDescent="0.25">
      <c r="A886" t="s">
        <v>2534</v>
      </c>
      <c r="B886" t="s">
        <v>2535</v>
      </c>
      <c r="C886" t="s">
        <v>2536</v>
      </c>
      <c r="D886">
        <v>2015</v>
      </c>
      <c r="E886" t="s">
        <v>2533</v>
      </c>
      <c r="F886" t="str">
        <f>HYPERLINK("https://www.szaktars.hu/harmattan/view/emlekezes-identitas-diszkurzus/", "https://www.szaktars.hu/harmattan/view/emlekezes-identitas-diszkurzus/")</f>
        <v>https://www.szaktars.hu/harmattan/view/emlekezes-identitas-diszkurzus/</v>
      </c>
    </row>
    <row r="887" spans="1:6" x14ac:dyDescent="0.25">
      <c r="A887" t="s">
        <v>2537</v>
      </c>
      <c r="B887" t="s">
        <v>2535</v>
      </c>
      <c r="C887" t="s">
        <v>2538</v>
      </c>
      <c r="D887">
        <v>2004</v>
      </c>
      <c r="E887" t="s">
        <v>2533</v>
      </c>
      <c r="F887" t="str">
        <f>HYPERLINK("https://www.szaktars.hu/harmattan/view/on-emotions-a-developmental-social-constructionist-account/", "https://www.szaktars.hu/harmattan/view/on-emotions-a-developmental-social-constructionist-account/")</f>
        <v>https://www.szaktars.hu/harmattan/view/on-emotions-a-developmental-social-constructionist-account/</v>
      </c>
    </row>
    <row r="888" spans="1:6" x14ac:dyDescent="0.25">
      <c r="A888" t="s">
        <v>2539</v>
      </c>
      <c r="B888" t="s">
        <v>2540</v>
      </c>
      <c r="C888" t="s">
        <v>2541</v>
      </c>
      <c r="D888">
        <v>2012</v>
      </c>
      <c r="E888" t="s">
        <v>2533</v>
      </c>
      <c r="F888" t="str">
        <f>HYPERLINK("https://www.szaktars.hu/harmattan/view/lszamolhatunk-e-hitlerrel-pszichoanalitikus-szemleletu-tanulmany/", "https://www.szaktars.hu/harmattan/view/lszamolhatunk-e-hitlerrel-pszichoanalitikus-szemleletu-tanulmany/")</f>
        <v>https://www.szaktars.hu/harmattan/view/lszamolhatunk-e-hitlerrel-pszichoanalitikus-szemleletu-tanulmany/</v>
      </c>
    </row>
    <row r="889" spans="1:6" x14ac:dyDescent="0.25">
      <c r="A889" t="s">
        <v>2542</v>
      </c>
      <c r="B889" t="s">
        <v>2543</v>
      </c>
      <c r="C889" t="s">
        <v>2544</v>
      </c>
      <c r="D889">
        <v>2012</v>
      </c>
      <c r="E889" t="s">
        <v>2533</v>
      </c>
      <c r="F889" t="str">
        <f>HYPERLINK("https://www.szaktars.hu/harmattan/view/empatia-a-beleeles-lelektana/", "https://www.szaktars.hu/harmattan/view/empatia-a-beleeles-lelektana/")</f>
        <v>https://www.szaktars.hu/harmattan/view/empatia-a-beleeles-lelektana/</v>
      </c>
    </row>
    <row r="890" spans="1:6" x14ac:dyDescent="0.25">
      <c r="A890" t="s">
        <v>2545</v>
      </c>
      <c r="B890" t="s">
        <v>2546</v>
      </c>
      <c r="C890" t="s">
        <v>2547</v>
      </c>
      <c r="D890">
        <v>2015</v>
      </c>
      <c r="E890" t="s">
        <v>2533</v>
      </c>
      <c r="F890" t="str">
        <f>HYPERLINK("https://www.szaktars.hu/harmattan/view/anyatlan-nemzedek-az-aktiv-analitikus-pszichoterapia-tankonyve/", "https://www.szaktars.hu/harmattan/view/anyatlan-nemzedek-az-aktiv-analitikus-pszichoterapia-tankonyve/")</f>
        <v>https://www.szaktars.hu/harmattan/view/anyatlan-nemzedek-az-aktiv-analitikus-pszichoterapia-tankonyve/</v>
      </c>
    </row>
    <row r="891" spans="1:6" x14ac:dyDescent="0.25">
      <c r="A891" t="s">
        <v>2548</v>
      </c>
      <c r="B891" t="s">
        <v>2549</v>
      </c>
      <c r="C891" t="s">
        <v>2550</v>
      </c>
      <c r="D891">
        <v>2011</v>
      </c>
      <c r="E891" t="s">
        <v>2533</v>
      </c>
      <c r="F891" t="str">
        <f>HYPERLINK("https://www.szaktars.hu/harmattan/view/a-klinikai-pszichologia-horizontja-tisztelgo-kotet-bagdy-emoke-70-szuletesnapjara/", "https://www.szaktars.hu/harmattan/view/a-klinikai-pszichologia-horizontja-tisztelgo-kotet-bagdy-emoke-70-szuletesnapjara/")</f>
        <v>https://www.szaktars.hu/harmattan/view/a-klinikai-pszichologia-horizontja-tisztelgo-kotet-bagdy-emoke-70-szuletesnapjara/</v>
      </c>
    </row>
    <row r="892" spans="1:6" x14ac:dyDescent="0.25">
      <c r="A892" t="s">
        <v>2551</v>
      </c>
      <c r="B892" t="s">
        <v>2552</v>
      </c>
      <c r="C892" t="s">
        <v>2553</v>
      </c>
      <c r="D892">
        <v>2013</v>
      </c>
      <c r="E892" t="s">
        <v>2533</v>
      </c>
      <c r="F892" t="str">
        <f>HYPERLINK("https://www.szaktars.hu/harmattan/view/amikor-a-gyermek-megjelenik/", "https://www.szaktars.hu/harmattan/view/amikor-a-gyermek-megjelenik/")</f>
        <v>https://www.szaktars.hu/harmattan/view/amikor-a-gyermek-megjelenik/</v>
      </c>
    </row>
    <row r="893" spans="1:6" x14ac:dyDescent="0.25">
      <c r="A893" t="s">
        <v>2554</v>
      </c>
      <c r="B893" t="s">
        <v>2552</v>
      </c>
      <c r="C893" t="s">
        <v>2555</v>
      </c>
      <c r="D893">
        <v>2015</v>
      </c>
      <c r="E893" t="s">
        <v>2533</v>
      </c>
      <c r="F893" t="str">
        <f>HYPERLINK("https://www.szaktars.hu/harmattan/view/amikor-a-gyermek-megjelenik-2/", "https://www.szaktars.hu/harmattan/view/amikor-a-gyermek-megjelenik-2/")</f>
        <v>https://www.szaktars.hu/harmattan/view/amikor-a-gyermek-megjelenik-2/</v>
      </c>
    </row>
    <row r="894" spans="1:6" x14ac:dyDescent="0.25">
      <c r="A894" t="s">
        <v>2556</v>
      </c>
      <c r="B894" t="s">
        <v>2557</v>
      </c>
      <c r="C894" t="s">
        <v>2558</v>
      </c>
      <c r="D894">
        <v>2015</v>
      </c>
      <c r="E894" t="s">
        <v>2533</v>
      </c>
      <c r="F894" t="str">
        <f>HYPERLINK("https://www.szaktars.hu/harmattan/view/rabeszeloter-a-szuggesztiv-kommunikacio-kornyezetpszichologiaja/", "https://www.szaktars.hu/harmattan/view/rabeszeloter-a-szuggesztiv-kommunikacio-kornyezetpszichologiaja/")</f>
        <v>https://www.szaktars.hu/harmattan/view/rabeszeloter-a-szuggesztiv-kommunikacio-kornyezetpszichologiaja/</v>
      </c>
    </row>
    <row r="895" spans="1:6" x14ac:dyDescent="0.25">
      <c r="A895" t="s">
        <v>2559</v>
      </c>
      <c r="B895" t="s">
        <v>2560</v>
      </c>
      <c r="C895" t="s">
        <v>2561</v>
      </c>
      <c r="D895">
        <v>2013</v>
      </c>
      <c r="E895" t="s">
        <v>2533</v>
      </c>
      <c r="F895" t="str">
        <f>HYPERLINK("https://www.szaktars.hu/harmattan/view/pszichoanalitikus-a-tarsadalomban-megjelent-a-karoli-gaspar-reformatus-egyetem-alapitasanak-20-eveben/", "https://www.szaktars.hu/harmattan/view/pszichoanalitikus-a-tarsadalomban-megjelent-a-karoli-gaspar-reformatus-egyetem-alapitasanak-20-eveben/")</f>
        <v>https://www.szaktars.hu/harmattan/view/pszichoanalitikus-a-tarsadalomban-megjelent-a-karoli-gaspar-reformatus-egyetem-alapitasanak-20-eveben/</v>
      </c>
    </row>
    <row r="896" spans="1:6" x14ac:dyDescent="0.25">
      <c r="A896" t="s">
        <v>2562</v>
      </c>
      <c r="B896" t="s">
        <v>2563</v>
      </c>
      <c r="C896" t="s">
        <v>2564</v>
      </c>
      <c r="D896">
        <v>2015</v>
      </c>
      <c r="E896" t="s">
        <v>2533</v>
      </c>
      <c r="F896" t="str">
        <f>HYPERLINK("https://www.szaktars.hu/harmattan/view/a-lelek-szinhaza-a-pszichodrama-es-az-onismeret-utjai/", "https://www.szaktars.hu/harmattan/view/a-lelek-szinhaza-a-pszichodrama-es-az-onismeret-utjai/")</f>
        <v>https://www.szaktars.hu/harmattan/view/a-lelek-szinhaza-a-pszichodrama-es-az-onismeret-utjai/</v>
      </c>
    </row>
    <row r="897" spans="1:6" x14ac:dyDescent="0.25">
      <c r="A897" t="s">
        <v>2565</v>
      </c>
      <c r="B897" t="s">
        <v>1675</v>
      </c>
      <c r="C897" t="s">
        <v>2566</v>
      </c>
      <c r="D897">
        <v>2014</v>
      </c>
      <c r="E897" t="s">
        <v>2533</v>
      </c>
      <c r="F897" t="str">
        <f>HYPERLINK("https://www.szaktars.hu/harmattan/view/kapcsolatban-istennel-es-emberrel/", "https://www.szaktars.hu/harmattan/view/kapcsolatban-istennel-es-emberrel/")</f>
        <v>https://www.szaktars.hu/harmattan/view/kapcsolatban-istennel-es-emberrel/</v>
      </c>
    </row>
    <row r="898" spans="1:6" x14ac:dyDescent="0.25">
      <c r="A898" t="s">
        <v>2567</v>
      </c>
      <c r="B898" t="s">
        <v>2568</v>
      </c>
      <c r="C898" t="s">
        <v>2569</v>
      </c>
      <c r="D898">
        <v>2012</v>
      </c>
      <c r="E898" t="s">
        <v>2533</v>
      </c>
      <c r="F898" t="str">
        <f>HYPERLINK("https://www.szaktars.hu/harmattan/view/az-arkangyal-tangoja-budapesttol-parizsig/", "https://www.szaktars.hu/harmattan/view/az-arkangyal-tangoja-budapesttol-parizsig/")</f>
        <v>https://www.szaktars.hu/harmattan/view/az-arkangyal-tangoja-budapesttol-parizsig/</v>
      </c>
    </row>
    <row r="899" spans="1:6" x14ac:dyDescent="0.25">
      <c r="A899" t="s">
        <v>2570</v>
      </c>
      <c r="B899" t="s">
        <v>2571</v>
      </c>
      <c r="C899" t="s">
        <v>2572</v>
      </c>
      <c r="D899">
        <v>2014</v>
      </c>
      <c r="E899" t="s">
        <v>2533</v>
      </c>
      <c r="F899" t="str">
        <f>HYPERLINK("https://www.szaktars.hu/harmattan/view/a-sziv-erintese-stresszcsokkento-onerteknovelo-integraciot-elosegito-fantaziajatekok-ovodasok-szamara/", "https://www.szaktars.hu/harmattan/view/a-sziv-erintese-stresszcsokkento-onerteknovelo-integraciot-elosegito-fantaziajatekok-ovodasok-szamara/")</f>
        <v>https://www.szaktars.hu/harmattan/view/a-sziv-erintese-stresszcsokkento-onerteknovelo-integraciot-elosegito-fantaziajatekok-ovodasok-szamara/</v>
      </c>
    </row>
    <row r="900" spans="1:6" x14ac:dyDescent="0.25">
      <c r="A900" t="s">
        <v>2573</v>
      </c>
      <c r="B900" t="s">
        <v>2571</v>
      </c>
      <c r="C900" t="s">
        <v>2574</v>
      </c>
      <c r="D900">
        <v>2014</v>
      </c>
      <c r="E900" t="s">
        <v>2533</v>
      </c>
      <c r="F900" t="str">
        <f>HYPERLINK("https://www.szaktars.hu/harmattan/view/egig-emelo-legzes-stresszcsokkento-onerteknovelo-integraciot-elosegito-fantaziajatekok-ovodasok-szamara/", "https://www.szaktars.hu/harmattan/view/egig-emelo-legzes-stresszcsokkento-onerteknovelo-integraciot-elosegito-fantaziajatekok-ovodasok-szamara/")</f>
        <v>https://www.szaktars.hu/harmattan/view/egig-emelo-legzes-stresszcsokkento-onerteknovelo-integraciot-elosegito-fantaziajatekok-ovodasok-szamara/</v>
      </c>
    </row>
    <row r="901" spans="1:6" x14ac:dyDescent="0.25">
      <c r="A901" t="s">
        <v>2575</v>
      </c>
      <c r="B901" t="s">
        <v>2571</v>
      </c>
      <c r="C901" t="s">
        <v>2576</v>
      </c>
      <c r="D901">
        <v>2009</v>
      </c>
      <c r="E901" t="s">
        <v>2533</v>
      </c>
      <c r="F901" t="str">
        <f>HYPERLINK("https://www.szaktars.hu/harmattan/view/mozgas-a-kepzelet-szarnyan-stresszcsokkento-onerteknovelo-integraciot-elosegito-fantaziajatekok-ovodasok-szamara/", "https://www.szaktars.hu/harmattan/view/mozgas-a-kepzelet-szarnyan-stresszcsokkento-onerteknovelo-integraciot-elosegito-fantaziajatekok-ovodasok-szamara/")</f>
        <v>https://www.szaktars.hu/harmattan/view/mozgas-a-kepzelet-szarnyan-stresszcsokkento-onerteknovelo-integraciot-elosegito-fantaziajatekok-ovodasok-szamara/</v>
      </c>
    </row>
    <row r="902" spans="1:6" x14ac:dyDescent="0.25">
      <c r="A902" t="s">
        <v>2577</v>
      </c>
      <c r="B902" t="s">
        <v>2571</v>
      </c>
      <c r="C902" t="s">
        <v>2578</v>
      </c>
      <c r="D902">
        <v>2009</v>
      </c>
      <c r="E902" t="s">
        <v>2533</v>
      </c>
      <c r="F902" t="str">
        <f>HYPERLINK("https://www.szaktars.hu/harmattan/view/onmagunkban-elmelyulten-stresszcsokkento-onerteknovelo-integraciot-elosegito-fantaziajatekok-ovodasok-es-iskolasok-szamara/", "https://www.szaktars.hu/harmattan/view/onmagunkban-elmelyulten-stresszcsokkento-onerteknovelo-integraciot-elosegito-fantaziajatekok-ovodasok-es-iskolasok-szamara/")</f>
        <v>https://www.szaktars.hu/harmattan/view/onmagunkban-elmelyulten-stresszcsokkento-onerteknovelo-integraciot-elosegito-fantaziajatekok-ovodasok-es-iskolasok-szamara/</v>
      </c>
    </row>
    <row r="903" spans="1:6" x14ac:dyDescent="0.25">
      <c r="A903" t="s">
        <v>2579</v>
      </c>
      <c r="B903" t="s">
        <v>2571</v>
      </c>
      <c r="C903" t="s">
        <v>2580</v>
      </c>
      <c r="D903">
        <v>2012</v>
      </c>
      <c r="E903" t="s">
        <v>2533</v>
      </c>
      <c r="F903" t="str">
        <f>HYPERLINK("https://www.szaktars.hu/harmattan/view/csupa-szepeket-tudok-varazsolni-avagy-hogyan-jatsszuk-a-varazsjatekokat/", "https://www.szaktars.hu/harmattan/view/csupa-szepeket-tudok-varazsolni-avagy-hogyan-jatsszuk-a-varazsjatekokat/")</f>
        <v>https://www.szaktars.hu/harmattan/view/csupa-szepeket-tudok-varazsolni-avagy-hogyan-jatsszuk-a-varazsjatekokat/</v>
      </c>
    </row>
    <row r="904" spans="1:6" x14ac:dyDescent="0.25">
      <c r="A904" t="s">
        <v>2581</v>
      </c>
      <c r="B904" t="s">
        <v>2571</v>
      </c>
      <c r="C904" t="s">
        <v>2582</v>
      </c>
      <c r="D904">
        <v>2012</v>
      </c>
      <c r="E904" t="s">
        <v>2533</v>
      </c>
      <c r="F904" t="str">
        <f>HYPERLINK("https://www.szaktars.hu/harmattan/view/tanulni-orulni-szeretni-stresszcsokkento-onerteknovelo-tanulast-es-integraciot-elosegito-fantaziajatekok-iskolasok-szamara/", "https://www.szaktars.hu/harmattan/view/tanulni-orulni-szeretni-stresszcsokkento-onerteknovelo-tanulast-es-integraciot-elosegito-fantaziajatekok-iskolasok-szamara/")</f>
        <v>https://www.szaktars.hu/harmattan/view/tanulni-orulni-szeretni-stresszcsokkento-onerteknovelo-tanulast-es-integraciot-elosegito-fantaziajatekok-iskolasok-szamara/</v>
      </c>
    </row>
    <row r="905" spans="1:6" x14ac:dyDescent="0.25">
      <c r="A905" t="s">
        <v>2583</v>
      </c>
      <c r="B905" t="s">
        <v>2584</v>
      </c>
      <c r="C905" t="s">
        <v>2585</v>
      </c>
      <c r="D905">
        <v>2007</v>
      </c>
      <c r="E905" t="s">
        <v>2533</v>
      </c>
      <c r="F905" t="str">
        <f>HYPERLINK("https://www.szaktars.hu/harmattan/view/szemelyisegpszichologia/", "https://www.szaktars.hu/harmattan/view/szemelyisegpszichologia/")</f>
        <v>https://www.szaktars.hu/harmattan/view/szemelyisegpszichologia/</v>
      </c>
    </row>
    <row r="906" spans="1:6" x14ac:dyDescent="0.25">
      <c r="A906" t="s">
        <v>2586</v>
      </c>
      <c r="B906" t="s">
        <v>2587</v>
      </c>
      <c r="C906" t="s">
        <v>2588</v>
      </c>
      <c r="D906">
        <v>2008</v>
      </c>
      <c r="E906" t="s">
        <v>2533</v>
      </c>
      <c r="F906" t="str">
        <f>HYPERLINK("https://www.szaktars.hu/harmattan/view/pszichologia-es-feminizmus-hogyan-alakitotta-at-a-pszichologia-elmeleteit-kutatasi-kerdeseit-es-modszereit-a-tarsadalminem-kutatas/", "https://www.szaktars.hu/harmattan/view/pszichologia-es-feminizmus-hogyan-alakitotta-at-a-pszichologia-elmeleteit-kutatasi-kerdeseit-es-modszereit-a-tarsadalminem-kutatas/")</f>
        <v>https://www.szaktars.hu/harmattan/view/pszichologia-es-feminizmus-hogyan-alakitotta-at-a-pszichologia-elmeleteit-kutatasi-kerdeseit-es-modszereit-a-tarsadalminem-kutatas/</v>
      </c>
    </row>
    <row r="907" spans="1:6" x14ac:dyDescent="0.25">
      <c r="A907" t="s">
        <v>2589</v>
      </c>
      <c r="B907" t="s">
        <v>2590</v>
      </c>
      <c r="C907" t="s">
        <v>2591</v>
      </c>
      <c r="D907">
        <v>2016</v>
      </c>
      <c r="E907" t="s">
        <v>2533</v>
      </c>
      <c r="F907" t="str">
        <f>HYPERLINK("https://www.szaktars.hu/harmattan/view/a-pszichologiai-tanacsadas-perspektivai/", "https://www.szaktars.hu/harmattan/view/a-pszichologiai-tanacsadas-perspektivai/")</f>
        <v>https://www.szaktars.hu/harmattan/view/a-pszichologiai-tanacsadas-perspektivai/</v>
      </c>
    </row>
    <row r="908" spans="1:6" x14ac:dyDescent="0.25">
      <c r="A908" t="s">
        <v>2592</v>
      </c>
      <c r="B908" t="s">
        <v>2593</v>
      </c>
      <c r="C908" t="s">
        <v>2594</v>
      </c>
      <c r="D908">
        <v>2014</v>
      </c>
      <c r="E908" t="s">
        <v>2533</v>
      </c>
      <c r="F908" t="str">
        <f>HYPERLINK("https://www.szaktars.hu/harmattan/view/csaladi-eletre-es-kapcsolati-kulturara-felkeszites/", "https://www.szaktars.hu/harmattan/view/csaladi-eletre-es-kapcsolati-kulturara-felkeszites/")</f>
        <v>https://www.szaktars.hu/harmattan/view/csaladi-eletre-es-kapcsolati-kulturara-felkeszites/</v>
      </c>
    </row>
    <row r="909" spans="1:6" x14ac:dyDescent="0.25">
      <c r="A909" t="s">
        <v>2595</v>
      </c>
      <c r="B909" t="s">
        <v>2596</v>
      </c>
      <c r="C909" t="s">
        <v>2597</v>
      </c>
      <c r="D909">
        <v>2015</v>
      </c>
      <c r="E909" t="s">
        <v>2533</v>
      </c>
      <c r="F909" t="str">
        <f>HYPERLINK("https://www.szaktars.hu/harmattan/view/lotilko-szarnyai-terapias-tortenetek-es-mesek-traumat-atelt-gyerekeknek-2/", "https://www.szaktars.hu/harmattan/view/lotilko-szarnyai-terapias-tortenetek-es-mesek-traumat-atelt-gyerekeknek-2/")</f>
        <v>https://www.szaktars.hu/harmattan/view/lotilko-szarnyai-terapias-tortenetek-es-mesek-traumat-atelt-gyerekeknek-2/</v>
      </c>
    </row>
    <row r="910" spans="1:6" x14ac:dyDescent="0.25">
      <c r="A910" t="s">
        <v>2598</v>
      </c>
      <c r="B910" t="s">
        <v>2599</v>
      </c>
      <c r="C910" t="s">
        <v>2600</v>
      </c>
      <c r="D910">
        <v>2014</v>
      </c>
      <c r="E910" t="s">
        <v>2533</v>
      </c>
      <c r="F910" t="str">
        <f>HYPERLINK("https://www.szaktars.hu/harmattan/view/kint-es-bent-lokalitas-es-etnicitas-a-peremvidekeken/", "https://www.szaktars.hu/harmattan/view/kint-es-bent-lokalitas-es-etnicitas-a-peremvidekeken/")</f>
        <v>https://www.szaktars.hu/harmattan/view/kint-es-bent-lokalitas-es-etnicitas-a-peremvidekeken/</v>
      </c>
    </row>
    <row r="911" spans="1:6" x14ac:dyDescent="0.25">
      <c r="A911" t="s">
        <v>2601</v>
      </c>
      <c r="B911" t="s">
        <v>2602</v>
      </c>
      <c r="C911" t="s">
        <v>2603</v>
      </c>
      <c r="D911">
        <v>2016</v>
      </c>
      <c r="E911" t="s">
        <v>2533</v>
      </c>
      <c r="F911" t="str">
        <f>HYPERLINK("https://www.szaktars.hu/harmattan/view/lelektan-es-politika-pszichotudomanyok-a-magyarorszagi-allamszocializmusban-1945-1970/", "https://www.szaktars.hu/harmattan/view/lelektan-es-politika-pszichotudomanyok-a-magyarorszagi-allamszocializmusban-1945-1970/")</f>
        <v>https://www.szaktars.hu/harmattan/view/lelektan-es-politika-pszichotudomanyok-a-magyarorszagi-allamszocializmusban-1945-1970/</v>
      </c>
    </row>
    <row r="912" spans="1:6" x14ac:dyDescent="0.25">
      <c r="A912" t="s">
        <v>2604</v>
      </c>
      <c r="B912" t="s">
        <v>2605</v>
      </c>
      <c r="C912" t="s">
        <v>2606</v>
      </c>
      <c r="D912">
        <v>2014</v>
      </c>
      <c r="E912" t="s">
        <v>2533</v>
      </c>
      <c r="F912" t="str">
        <f>HYPERLINK("https://www.szaktars.hu/harmattan/view/a-nem-mulo-jelen-trauma-es-nosztalgia/", "https://www.szaktars.hu/harmattan/view/a-nem-mulo-jelen-trauma-es-nosztalgia/")</f>
        <v>https://www.szaktars.hu/harmattan/view/a-nem-mulo-jelen-trauma-es-nosztalgia/</v>
      </c>
    </row>
    <row r="913" spans="1:6" x14ac:dyDescent="0.25">
      <c r="A913" t="s">
        <v>2607</v>
      </c>
      <c r="B913" t="s">
        <v>2608</v>
      </c>
      <c r="C913" t="s">
        <v>2609</v>
      </c>
      <c r="D913">
        <v>2014</v>
      </c>
      <c r="E913" t="s">
        <v>2533</v>
      </c>
      <c r="F913" t="str">
        <f>HYPERLINK("https://www.szaktars.hu/harmattan/view/ki-latott-engem-buda-bela-75/", "https://www.szaktars.hu/harmattan/view/ki-latott-engem-buda-bela-75/")</f>
        <v>https://www.szaktars.hu/harmattan/view/ki-latott-engem-buda-bela-75/</v>
      </c>
    </row>
    <row r="914" spans="1:6" x14ac:dyDescent="0.25">
      <c r="A914" t="s">
        <v>2610</v>
      </c>
      <c r="B914" t="s">
        <v>2611</v>
      </c>
      <c r="C914" t="s">
        <v>2612</v>
      </c>
      <c r="D914">
        <v>2014</v>
      </c>
      <c r="E914" t="s">
        <v>2533</v>
      </c>
      <c r="F914" t="str">
        <f>HYPERLINK("https://www.szaktars.hu/harmattan/view/freud-avagy-a-modernitas-mitosza/", "https://www.szaktars.hu/harmattan/view/freud-avagy-a-modernitas-mitosza/")</f>
        <v>https://www.szaktars.hu/harmattan/view/freud-avagy-a-modernitas-mitosza/</v>
      </c>
    </row>
    <row r="915" spans="1:6" x14ac:dyDescent="0.25">
      <c r="A915" t="s">
        <v>2613</v>
      </c>
      <c r="B915" t="s">
        <v>2614</v>
      </c>
      <c r="C915" t="s">
        <v>2615</v>
      </c>
      <c r="D915">
        <v>2012</v>
      </c>
      <c r="E915" t="s">
        <v>2533</v>
      </c>
      <c r="F915" t="str">
        <f>HYPERLINK("https://www.szaktars.hu/harmattan/view/tudatallapotok-hipnozis-egymasra-hangolodas/", "https://www.szaktars.hu/harmattan/view/tudatallapotok-hipnozis-egymasra-hangolodas/")</f>
        <v>https://www.szaktars.hu/harmattan/view/tudatallapotok-hipnozis-egymasra-hangolodas/</v>
      </c>
    </row>
    <row r="916" spans="1:6" x14ac:dyDescent="0.25">
      <c r="A916" t="s">
        <v>2616</v>
      </c>
      <c r="B916" t="s">
        <v>2617</v>
      </c>
      <c r="C916" t="s">
        <v>2618</v>
      </c>
      <c r="D916">
        <v>2011</v>
      </c>
      <c r="E916" t="s">
        <v>2533</v>
      </c>
      <c r="F916" t="str">
        <f>HYPERLINK("https://www.szaktars.hu/harmattan/view/a-kepi-kifejezespszichologia-alapkerdesei-szemlelet-es-modszer/", "https://www.szaktars.hu/harmattan/view/a-kepi-kifejezespszichologia-alapkerdesei-szemlelet-es-modszer/")</f>
        <v>https://www.szaktars.hu/harmattan/view/a-kepi-kifejezespszichologia-alapkerdesei-szemlelet-es-modszer/</v>
      </c>
    </row>
    <row r="917" spans="1:6" x14ac:dyDescent="0.25">
      <c r="A917" t="s">
        <v>2619</v>
      </c>
      <c r="B917" t="s">
        <v>2571</v>
      </c>
      <c r="C917" t="s">
        <v>2620</v>
      </c>
      <c r="D917" t="s">
        <v>149</v>
      </c>
      <c r="E917" t="s">
        <v>2533</v>
      </c>
      <c r="F917" t="str">
        <f>HYPERLINK("https://www.szaktars.hu/harmattan/view/a-fantazia-tengeren-stresszcsokkento-onerteknovelo-integraciot-elosegito-fantaziajatekok-ovodasok-szamara/", "https://www.szaktars.hu/harmattan/view/a-fantazia-tengeren-stresszcsokkento-onerteknovelo-integraciot-elosegito-fantaziajatekok-ovodasok-szamara/")</f>
        <v>https://www.szaktars.hu/harmattan/view/a-fantazia-tengeren-stresszcsokkento-onerteknovelo-integraciot-elosegito-fantaziajatekok-ovodasok-szamara/</v>
      </c>
    </row>
    <row r="918" spans="1:6" x14ac:dyDescent="0.25">
      <c r="A918" t="s">
        <v>2621</v>
      </c>
      <c r="B918" t="s">
        <v>2611</v>
      </c>
      <c r="C918" t="s">
        <v>2622</v>
      </c>
      <c r="D918">
        <v>2015</v>
      </c>
      <c r="E918" t="s">
        <v>2533</v>
      </c>
      <c r="F918" t="str">
        <f>HYPERLINK("https://www.szaktars.hu/harmattan/view/pszichedelikumok-es-spiritualitas/", "https://www.szaktars.hu/harmattan/view/pszichedelikumok-es-spiritualitas/")</f>
        <v>https://www.szaktars.hu/harmattan/view/pszichedelikumok-es-spiritualitas/</v>
      </c>
    </row>
    <row r="919" spans="1:6" x14ac:dyDescent="0.25">
      <c r="A919" t="s">
        <v>2623</v>
      </c>
      <c r="B919" t="s">
        <v>2624</v>
      </c>
      <c r="C919" t="s">
        <v>2625</v>
      </c>
      <c r="D919">
        <v>2015</v>
      </c>
      <c r="E919" t="s">
        <v>2533</v>
      </c>
      <c r="F919" t="str">
        <f>HYPERLINK("https://www.szaktars.hu/harmattan/view/az-aranytok-terapias-tortenetek-es-mesek-traumat-atelt-gyerekeknek-1/", "https://www.szaktars.hu/harmattan/view/az-aranytok-terapias-tortenetek-es-mesek-traumat-atelt-gyerekeknek-1/")</f>
        <v>https://www.szaktars.hu/harmattan/view/az-aranytok-terapias-tortenetek-es-mesek-traumat-atelt-gyerekeknek-1/</v>
      </c>
    </row>
    <row r="920" spans="1:6" x14ac:dyDescent="0.25">
      <c r="A920" t="s">
        <v>2626</v>
      </c>
      <c r="B920" t="s">
        <v>2627</v>
      </c>
      <c r="C920" t="s">
        <v>2628</v>
      </c>
      <c r="D920">
        <v>2009</v>
      </c>
      <c r="E920" t="s">
        <v>2629</v>
      </c>
      <c r="F920" t="str">
        <f>HYPERLINK("https://www.szaktars.hu/harmattan/view/regeszeti-dimenziok/", "https://www.szaktars.hu/harmattan/view/regeszeti-dimenziok/")</f>
        <v>https://www.szaktars.hu/harmattan/view/regeszeti-dimenziok/</v>
      </c>
    </row>
    <row r="921" spans="1:6" x14ac:dyDescent="0.25">
      <c r="A921" t="s">
        <v>2630</v>
      </c>
      <c r="B921" t="s">
        <v>2631</v>
      </c>
      <c r="C921" t="s">
        <v>2632</v>
      </c>
      <c r="D921">
        <v>2006</v>
      </c>
      <c r="E921" t="s">
        <v>2629</v>
      </c>
      <c r="F921" t="str">
        <f>HYPERLINK("https://www.szaktars.hu/harmattan/view/regenvolt-haziallatok-bevezetes-a-regeszeti-allattanba/", "https://www.szaktars.hu/harmattan/view/regenvolt-haziallatok-bevezetes-a-regeszeti-allattanba/")</f>
        <v>https://www.szaktars.hu/harmattan/view/regenvolt-haziallatok-bevezetes-a-regeszeti-allattanba/</v>
      </c>
    </row>
    <row r="922" spans="1:6" x14ac:dyDescent="0.25">
      <c r="A922" t="s">
        <v>2633</v>
      </c>
      <c r="B922" t="s">
        <v>2634</v>
      </c>
      <c r="C922" t="s">
        <v>2635</v>
      </c>
      <c r="D922">
        <v>2007</v>
      </c>
      <c r="E922" t="s">
        <v>2629</v>
      </c>
      <c r="F922" t="str">
        <f>HYPERLINK("https://www.szaktars.hu/harmattan/view/amit-elrejt-a-fold-a-10-szazadi-magyarsag-anyagi-kulturajanak-regeszeti-kutatasa-a-karpat-medenceben/", "https://www.szaktars.hu/harmattan/view/amit-elrejt-a-fold-a-10-szazadi-magyarsag-anyagi-kulturajanak-regeszeti-kutatasa-a-karpat-medenceben/")</f>
        <v>https://www.szaktars.hu/harmattan/view/amit-elrejt-a-fold-a-10-szazadi-magyarsag-anyagi-kulturajanak-regeszeti-kutatasa-a-karpat-medenceben/</v>
      </c>
    </row>
    <row r="923" spans="1:6" x14ac:dyDescent="0.25">
      <c r="A923" t="s">
        <v>2636</v>
      </c>
      <c r="B923" t="s">
        <v>2637</v>
      </c>
      <c r="C923" t="s">
        <v>2638</v>
      </c>
      <c r="D923">
        <v>2014</v>
      </c>
      <c r="E923" t="s">
        <v>2629</v>
      </c>
      <c r="F923" t="str">
        <f>HYPERLINK("https://www.szaktars.hu/harmattan/view/byzantinische-fundmunzen-der-awarenzeit-in-ihrem-europaischen-umfeld/", "https://www.szaktars.hu/harmattan/view/byzantinische-fundmunzen-der-awarenzeit-in-ihrem-europaischen-umfeld/")</f>
        <v>https://www.szaktars.hu/harmattan/view/byzantinische-fundmunzen-der-awarenzeit-in-ihrem-europaischen-umfeld/</v>
      </c>
    </row>
    <row r="924" spans="1:6" x14ac:dyDescent="0.25">
      <c r="A924" t="s">
        <v>2639</v>
      </c>
      <c r="B924" t="s">
        <v>2640</v>
      </c>
      <c r="C924" t="s">
        <v>2641</v>
      </c>
      <c r="D924">
        <v>2005</v>
      </c>
      <c r="E924" t="s">
        <v>2629</v>
      </c>
      <c r="F924" t="str">
        <f>HYPERLINK("https://www.szaktars.hu/harmattan/view/a-keleti-keltak-a-keso-vaskor-a-karpat-medenceben/", "https://www.szaktars.hu/harmattan/view/a-keleti-keltak-a-keso-vaskor-a-karpat-medenceben/")</f>
        <v>https://www.szaktars.hu/harmattan/view/a-keleti-keltak-a-keso-vaskor-a-karpat-medenceben/</v>
      </c>
    </row>
    <row r="925" spans="1:6" x14ac:dyDescent="0.25">
      <c r="A925" t="s">
        <v>2642</v>
      </c>
      <c r="B925" t="s">
        <v>2643</v>
      </c>
      <c r="C925" t="s">
        <v>2644</v>
      </c>
      <c r="D925">
        <v>2015</v>
      </c>
      <c r="E925" t="s">
        <v>2629</v>
      </c>
      <c r="F925" t="str">
        <f>HYPERLINK("https://www.szaktars.hu/harmattan/view/magyarorszag-tortenete-az-okorban-keltak-es-romaiak/", "https://www.szaktars.hu/harmattan/view/magyarorszag-tortenete-az-okorban-keltak-es-romaiak/")</f>
        <v>https://www.szaktars.hu/harmattan/view/magyarorszag-tortenete-az-okorban-keltak-es-romaiak/</v>
      </c>
    </row>
    <row r="926" spans="1:6" x14ac:dyDescent="0.25">
      <c r="A926" t="s">
        <v>2645</v>
      </c>
      <c r="B926" t="s">
        <v>2646</v>
      </c>
      <c r="C926" t="s">
        <v>2647</v>
      </c>
      <c r="D926">
        <v>2011</v>
      </c>
      <c r="E926" t="s">
        <v>2629</v>
      </c>
      <c r="F926" t="str">
        <f>HYPERLINK("https://www.szaktars.hu/harmattan/view/bronze-age-cemetery-at-dunaujvaros-duna-dulo/", "https://www.szaktars.hu/harmattan/view/bronze-age-cemetery-at-dunaujvaros-duna-dulo/")</f>
        <v>https://www.szaktars.hu/harmattan/view/bronze-age-cemetery-at-dunaujvaros-duna-dulo/</v>
      </c>
    </row>
    <row r="927" spans="1:6" x14ac:dyDescent="0.25">
      <c r="A927" t="s">
        <v>2648</v>
      </c>
      <c r="B927" t="s">
        <v>2649</v>
      </c>
      <c r="C927" t="s">
        <v>2650</v>
      </c>
      <c r="D927">
        <v>2008</v>
      </c>
      <c r="E927" t="s">
        <v>2629</v>
      </c>
      <c r="F927" t="str">
        <f>HYPERLINK("https://www.szaktars.hu/harmattan/view/nouvelles-approches-en-anthropologie-et-en-archeologie-funeraire/", "https://www.szaktars.hu/harmattan/view/nouvelles-approches-en-anthropologie-et-en-archeologie-funeraire/")</f>
        <v>https://www.szaktars.hu/harmattan/view/nouvelles-approches-en-anthropologie-et-en-archeologie-funeraire/</v>
      </c>
    </row>
    <row r="928" spans="1:6" x14ac:dyDescent="0.25">
      <c r="A928" t="s">
        <v>2651</v>
      </c>
      <c r="B928" t="s">
        <v>2652</v>
      </c>
      <c r="C928" t="s">
        <v>2653</v>
      </c>
      <c r="D928">
        <v>2016</v>
      </c>
      <c r="E928" t="s">
        <v>2629</v>
      </c>
      <c r="F928" t="str">
        <f>HYPERLINK("https://www.szaktars.hu/harmattan/view/traces-of-social-inequality-during-the-late-neolithic-in-the-eastern-carpathian-basin/", "https://www.szaktars.hu/harmattan/view/traces-of-social-inequality-during-the-late-neolithic-in-the-eastern-carpathian-basin/")</f>
        <v>https://www.szaktars.hu/harmattan/view/traces-of-social-inequality-during-the-late-neolithic-in-the-eastern-carpathian-basin/</v>
      </c>
    </row>
    <row r="929" spans="1:6" x14ac:dyDescent="0.25">
      <c r="A929" t="s">
        <v>2654</v>
      </c>
      <c r="B929" t="s">
        <v>2655</v>
      </c>
      <c r="C929" t="s">
        <v>2656</v>
      </c>
      <c r="D929">
        <v>2010</v>
      </c>
      <c r="E929" t="s">
        <v>2629</v>
      </c>
      <c r="F929" t="str">
        <f>HYPERLINK("https://www.szaktars.hu/harmattan/view/ein-graberfeld-der-spatbronzezeit-von-budapest-bekasmegyer/", "https://www.szaktars.hu/harmattan/view/ein-graberfeld-der-spatbronzezeit-von-budapest-bekasmegyer/")</f>
        <v>https://www.szaktars.hu/harmattan/view/ein-graberfeld-der-spatbronzezeit-von-budapest-bekasmegyer/</v>
      </c>
    </row>
    <row r="930" spans="1:6" x14ac:dyDescent="0.25">
      <c r="A930" t="s">
        <v>2657</v>
      </c>
      <c r="B930" t="s">
        <v>2658</v>
      </c>
      <c r="C930" t="s">
        <v>2659</v>
      </c>
      <c r="D930">
        <v>2012</v>
      </c>
      <c r="E930" t="s">
        <v>2629</v>
      </c>
      <c r="F930" t="str">
        <f>HYPERLINK("https://www.szaktars.hu/harmattan/view/la-necropole-celtique-a-ludas-varju-dulo/", "https://www.szaktars.hu/harmattan/view/la-necropole-celtique-a-ludas-varju-dulo/")</f>
        <v>https://www.szaktars.hu/harmattan/view/la-necropole-celtique-a-ludas-varju-dulo/</v>
      </c>
    </row>
    <row r="931" spans="1:6" x14ac:dyDescent="0.25">
      <c r="A931" t="s">
        <v>2660</v>
      </c>
      <c r="B931" t="s">
        <v>2640</v>
      </c>
      <c r="C931" t="s">
        <v>2661</v>
      </c>
      <c r="D931">
        <v>2012</v>
      </c>
      <c r="E931" t="s">
        <v>2629</v>
      </c>
      <c r="F931" t="str">
        <f>HYPERLINK("https://www.szaktars.hu/harmattan/view/lhabitat-de-lepoque-de-la-tene-a-sajopetri-hosszu-dulo/", "https://www.szaktars.hu/harmattan/view/lhabitat-de-lepoque-de-la-tene-a-sajopetri-hosszu-dulo/")</f>
        <v>https://www.szaktars.hu/harmattan/view/lhabitat-de-lepoque-de-la-tene-a-sajopetri-hosszu-dulo/</v>
      </c>
    </row>
    <row r="932" spans="1:6" x14ac:dyDescent="0.25">
      <c r="A932" t="s">
        <v>2662</v>
      </c>
      <c r="B932" t="s">
        <v>53</v>
      </c>
      <c r="C932" t="s">
        <v>2663</v>
      </c>
      <c r="D932">
        <v>2005</v>
      </c>
      <c r="E932" t="s">
        <v>2664</v>
      </c>
      <c r="F932" t="str">
        <f>HYPERLINK("https://www.szaktars.hu/harmattan/view/the-complete-guide-to-being-hungarian-50-facts-facets-of-nationhood/", "https://www.szaktars.hu/harmattan/view/the-complete-guide-to-being-hungarian-50-facts-facets-of-nationhood/")</f>
        <v>https://www.szaktars.hu/harmattan/view/the-complete-guide-to-being-hungarian-50-facts-facets-of-nationhood/</v>
      </c>
    </row>
    <row r="933" spans="1:6" x14ac:dyDescent="0.25">
      <c r="A933" t="s">
        <v>2665</v>
      </c>
      <c r="B933" t="s">
        <v>2666</v>
      </c>
      <c r="C933" t="s">
        <v>2667</v>
      </c>
      <c r="D933">
        <v>2000</v>
      </c>
      <c r="E933" t="s">
        <v>2664</v>
      </c>
      <c r="F933" t="str">
        <f>HYPERLINK("https://www.szaktars.hu/harmattan/view/a-mcdonalds-gyermekei-a-vilag-mcdonaldizalodasa/", "https://www.szaktars.hu/harmattan/view/a-mcdonalds-gyermekei-a-vilag-mcdonaldizalodasa/")</f>
        <v>https://www.szaktars.hu/harmattan/view/a-mcdonalds-gyermekei-a-vilag-mcdonaldizalodasa/</v>
      </c>
    </row>
    <row r="934" spans="1:6" x14ac:dyDescent="0.25">
      <c r="A934" t="s">
        <v>2668</v>
      </c>
      <c r="B934" t="s">
        <v>2669</v>
      </c>
      <c r="C934" t="s">
        <v>2670</v>
      </c>
      <c r="D934">
        <v>2012</v>
      </c>
      <c r="E934" t="s">
        <v>2664</v>
      </c>
      <c r="F934" t="str">
        <f>HYPERLINK("https://www.szaktars.hu/harmattan/view/mert-az-ordog-velem-volt-elet-elleni-buncselekmenyek-a-19-szazad-elso-feleben/", "https://www.szaktars.hu/harmattan/view/mert-az-ordog-velem-volt-elet-elleni-buncselekmenyek-a-19-szazad-elso-feleben/")</f>
        <v>https://www.szaktars.hu/harmattan/view/mert-az-ordog-velem-volt-elet-elleni-buncselekmenyek-a-19-szazad-elso-feleben/</v>
      </c>
    </row>
    <row r="935" spans="1:6" x14ac:dyDescent="0.25">
      <c r="A935" t="s">
        <v>2671</v>
      </c>
      <c r="B935" t="s">
        <v>2672</v>
      </c>
      <c r="C935" t="s">
        <v>2673</v>
      </c>
      <c r="D935">
        <v>2013</v>
      </c>
      <c r="E935" t="s">
        <v>2664</v>
      </c>
      <c r="F935" t="str">
        <f>HYPERLINK("https://www.szaktars.hu/harmattan/view/szavak-kepek-jelentes-kvalitativ-kutatasi-olvasokonyv-pszichologia-es-tarsadalom/", "https://www.szaktars.hu/harmattan/view/szavak-kepek-jelentes-kvalitativ-kutatasi-olvasokonyv-pszichologia-es-tarsadalom/")</f>
        <v>https://www.szaktars.hu/harmattan/view/szavak-kepek-jelentes-kvalitativ-kutatasi-olvasokonyv-pszichologia-es-tarsadalom/</v>
      </c>
    </row>
    <row r="936" spans="1:6" x14ac:dyDescent="0.25">
      <c r="A936" t="s">
        <v>2674</v>
      </c>
      <c r="B936" t="s">
        <v>2675</v>
      </c>
      <c r="C936" t="s">
        <v>2676</v>
      </c>
      <c r="D936">
        <v>2008</v>
      </c>
      <c r="E936" t="s">
        <v>2664</v>
      </c>
      <c r="F936" t="str">
        <f>HYPERLINK("https://www.szaktars.hu/harmattan/view/a-mai-magyar-tarsadalom/", "https://www.szaktars.hu/harmattan/view/a-mai-magyar-tarsadalom/")</f>
        <v>https://www.szaktars.hu/harmattan/view/a-mai-magyar-tarsadalom/</v>
      </c>
    </row>
    <row r="937" spans="1:6" x14ac:dyDescent="0.25">
      <c r="A937" t="s">
        <v>2677</v>
      </c>
      <c r="B937" t="s">
        <v>2678</v>
      </c>
      <c r="C937" t="s">
        <v>2679</v>
      </c>
      <c r="D937">
        <v>2012</v>
      </c>
      <c r="E937" t="s">
        <v>2664</v>
      </c>
      <c r="F937" t="str">
        <f>HYPERLINK("https://www.szaktars.hu/harmattan/view/az-identitasok-korlatai-traumak-tabusitasok-tapasztalattortenetek-a-ii-vilaghaboru-kezdetetol/", "https://www.szaktars.hu/harmattan/view/az-identitasok-korlatai-traumak-tabusitasok-tapasztalattortenetek-a-ii-vilaghaboru-kezdetetol/")</f>
        <v>https://www.szaktars.hu/harmattan/view/az-identitasok-korlatai-traumak-tabusitasok-tapasztalattortenetek-a-ii-vilaghaboru-kezdetetol/</v>
      </c>
    </row>
    <row r="938" spans="1:6" x14ac:dyDescent="0.25">
      <c r="A938" t="s">
        <v>2680</v>
      </c>
      <c r="B938" t="s">
        <v>2681</v>
      </c>
      <c r="C938" t="s">
        <v>2682</v>
      </c>
      <c r="D938">
        <v>2011</v>
      </c>
      <c r="E938" t="s">
        <v>2664</v>
      </c>
      <c r="F938" t="str">
        <f>HYPERLINK("https://www.szaktars.hu/harmattan/view/nacionalista-politika-es-hetkoznapi-etnicitas-egy-erdelyi-varosban/", "https://www.szaktars.hu/harmattan/view/nacionalista-politika-es-hetkoznapi-etnicitas-egy-erdelyi-varosban/")</f>
        <v>https://www.szaktars.hu/harmattan/view/nacionalista-politika-es-hetkoznapi-etnicitas-egy-erdelyi-varosban/</v>
      </c>
    </row>
    <row r="939" spans="1:6" x14ac:dyDescent="0.25">
      <c r="A939" t="s">
        <v>2683</v>
      </c>
      <c r="B939" t="s">
        <v>2684</v>
      </c>
      <c r="C939" t="s">
        <v>2685</v>
      </c>
      <c r="D939">
        <v>2010</v>
      </c>
      <c r="E939" t="s">
        <v>2664</v>
      </c>
      <c r="F939" t="str">
        <f>HYPERLINK("https://www.szaktars.hu/harmattan/view/modernitas-illuziok-nelkul-niklas-luhmann-tarsadalom-es-politikaelmelete/", "https://www.szaktars.hu/harmattan/view/modernitas-illuziok-nelkul-niklas-luhmann-tarsadalom-es-politikaelmelete/")</f>
        <v>https://www.szaktars.hu/harmattan/view/modernitas-illuziok-nelkul-niklas-luhmann-tarsadalom-es-politikaelmelete/</v>
      </c>
    </row>
    <row r="940" spans="1:6" x14ac:dyDescent="0.25">
      <c r="A940" t="s">
        <v>2686</v>
      </c>
      <c r="B940" t="s">
        <v>2687</v>
      </c>
      <c r="C940" t="s">
        <v>2688</v>
      </c>
      <c r="D940">
        <v>2015</v>
      </c>
      <c r="E940" t="s">
        <v>2664</v>
      </c>
      <c r="F940" t="str">
        <f>HYPERLINK("https://www.szaktars.hu/harmattan/view/a-kvalitativ-kutatas-alapjai/", "https://www.szaktars.hu/harmattan/view/a-kvalitativ-kutatas-alapjai/")</f>
        <v>https://www.szaktars.hu/harmattan/view/a-kvalitativ-kutatas-alapjai/</v>
      </c>
    </row>
    <row r="941" spans="1:6" x14ac:dyDescent="0.25">
      <c r="A941" t="s">
        <v>2689</v>
      </c>
      <c r="B941" t="s">
        <v>2690</v>
      </c>
      <c r="C941" t="s">
        <v>2691</v>
      </c>
      <c r="D941">
        <v>2012</v>
      </c>
      <c r="E941" t="s">
        <v>2664</v>
      </c>
      <c r="F941" t="str">
        <f>HYPERLINK("https://www.szaktars.hu/harmattan/view/nok-melyszegenysegben-szemelyes-eletvilagok-es-cselekvesi-perspektivak-a-melyszegenysegben-elo-nok-mindennapjaiban/", "https://www.szaktars.hu/harmattan/view/nok-melyszegenysegben-szemelyes-eletvilagok-es-cselekvesi-perspektivak-a-melyszegenysegben-elo-nok-mindennapjaiban/")</f>
        <v>https://www.szaktars.hu/harmattan/view/nok-melyszegenysegben-szemelyes-eletvilagok-es-cselekvesi-perspektivak-a-melyszegenysegben-elo-nok-mindennapjaiban/</v>
      </c>
    </row>
    <row r="942" spans="1:6" x14ac:dyDescent="0.25">
      <c r="A942" t="s">
        <v>2692</v>
      </c>
      <c r="B942" t="s">
        <v>2693</v>
      </c>
      <c r="C942" t="s">
        <v>2694</v>
      </c>
      <c r="D942">
        <v>2010</v>
      </c>
      <c r="E942" t="s">
        <v>2664</v>
      </c>
      <c r="F942" t="str">
        <f>HYPERLINK("https://www.szaktars.hu/harmattan/view/a-tisztes-munka-a-teljesfoglalkoztatas-a-21-szazad-eselye-vagy-utopiaja/", "https://www.szaktars.hu/harmattan/view/a-tisztes-munka-a-teljesfoglalkoztatas-a-21-szazad-eselye-vagy-utopiaja/")</f>
        <v>https://www.szaktars.hu/harmattan/view/a-tisztes-munka-a-teljesfoglalkoztatas-a-21-szazad-eselye-vagy-utopiaja/</v>
      </c>
    </row>
    <row r="943" spans="1:6" x14ac:dyDescent="0.25">
      <c r="A943" t="s">
        <v>2695</v>
      </c>
      <c r="B943" t="s">
        <v>2696</v>
      </c>
      <c r="C943" t="s">
        <v>2697</v>
      </c>
      <c r="D943">
        <v>2016</v>
      </c>
      <c r="E943" t="s">
        <v>2664</v>
      </c>
      <c r="F943" t="str">
        <f>HYPERLINK("https://www.szaktars.hu/harmattan/view/a-rendszervaltas-csaladtortenetei-huszonot-ev-budapest-arnyekaban/", "https://www.szaktars.hu/harmattan/view/a-rendszervaltas-csaladtortenetei-huszonot-ev-budapest-arnyekaban/")</f>
        <v>https://www.szaktars.hu/harmattan/view/a-rendszervaltas-csaladtortenetei-huszonot-ev-budapest-arnyekaban/</v>
      </c>
    </row>
    <row r="944" spans="1:6" x14ac:dyDescent="0.25">
      <c r="A944" t="s">
        <v>2698</v>
      </c>
      <c r="B944" t="s">
        <v>2699</v>
      </c>
      <c r="C944" t="s">
        <v>2700</v>
      </c>
      <c r="D944">
        <v>2015</v>
      </c>
      <c r="E944" t="s">
        <v>2664</v>
      </c>
      <c r="F944" t="str">
        <f>HYPERLINK("https://www.szaktars.hu/harmattan/view/romologia/", "https://www.szaktars.hu/harmattan/view/romologia/")</f>
        <v>https://www.szaktars.hu/harmattan/view/romologia/</v>
      </c>
    </row>
    <row r="945" spans="1:6" x14ac:dyDescent="0.25">
      <c r="A945" t="s">
        <v>2701</v>
      </c>
      <c r="B945" t="s">
        <v>2702</v>
      </c>
      <c r="C945" t="s">
        <v>2703</v>
      </c>
      <c r="D945">
        <v>2012</v>
      </c>
      <c r="E945" t="s">
        <v>2664</v>
      </c>
      <c r="F945" t="str">
        <f>HYPERLINK("https://www.szaktars.hu/harmattan/view/a-szeretet-civilizaciojaert-tarsadalompolitika-szocialpolitika-csaladpolitika-es-a-kereszteny-tarsadalometika/", "https://www.szaktars.hu/harmattan/view/a-szeretet-civilizaciojaert-tarsadalompolitika-szocialpolitika-csaladpolitika-es-a-kereszteny-tarsadalometika/")</f>
        <v>https://www.szaktars.hu/harmattan/view/a-szeretet-civilizaciojaert-tarsadalompolitika-szocialpolitika-csaladpolitika-es-a-kereszteny-tarsadalometika/</v>
      </c>
    </row>
    <row r="946" spans="1:6" x14ac:dyDescent="0.25">
      <c r="A946" t="s">
        <v>2704</v>
      </c>
      <c r="B946" t="s">
        <v>2702</v>
      </c>
      <c r="C946" t="s">
        <v>2705</v>
      </c>
      <c r="D946">
        <v>2013</v>
      </c>
      <c r="E946" t="s">
        <v>2664</v>
      </c>
      <c r="F946" t="str">
        <f>HYPERLINK("https://www.szaktars.hu/harmattan/view/a-szeretet-es-az-elet-bolcsoje-a-hazassag-es-a-csalad-erkolcsteologiaja-es-szocialetikaja-ertekszociologiai-kutatasok-fenyeben/", "https://www.szaktars.hu/harmattan/view/a-szeretet-es-az-elet-bolcsoje-a-hazassag-es-a-csalad-erkolcsteologiaja-es-szocialetikaja-ertekszociologiai-kutatasok-fenyeben/")</f>
        <v>https://www.szaktars.hu/harmattan/view/a-szeretet-es-az-elet-bolcsoje-a-hazassag-es-a-csalad-erkolcsteologiaja-es-szocialetikaja-ertekszociologiai-kutatasok-fenyeben/</v>
      </c>
    </row>
    <row r="947" spans="1:6" x14ac:dyDescent="0.25">
      <c r="A947" t="s">
        <v>2706</v>
      </c>
      <c r="B947" t="s">
        <v>2702</v>
      </c>
      <c r="C947" t="s">
        <v>2707</v>
      </c>
      <c r="D947">
        <v>2006</v>
      </c>
      <c r="E947" t="s">
        <v>2664</v>
      </c>
      <c r="F947" t="str">
        <f>HYPERLINK("https://www.szaktars.hu/harmattan/view/a-szeretet-kozossege-a-csaladszociologia-alapjai/", "https://www.szaktars.hu/harmattan/view/a-szeretet-kozossege-a-csaladszociologia-alapjai/")</f>
        <v>https://www.szaktars.hu/harmattan/view/a-szeretet-kozossege-a-csaladszociologia-alapjai/</v>
      </c>
    </row>
    <row r="948" spans="1:6" x14ac:dyDescent="0.25">
      <c r="A948" t="s">
        <v>2708</v>
      </c>
      <c r="B948" t="s">
        <v>2702</v>
      </c>
      <c r="C948" t="s">
        <v>2709</v>
      </c>
      <c r="D948">
        <v>2005</v>
      </c>
      <c r="E948" t="s">
        <v>2664</v>
      </c>
      <c r="F948" t="str">
        <f>HYPERLINK("https://www.szaktars.hu/harmattan/view/egymasba-kapaszkodva-telepules-es-kozossegfejlesztes-a-globalizacio-koraban/", "https://www.szaktars.hu/harmattan/view/egymasba-kapaszkodva-telepules-es-kozossegfejlesztes-a-globalizacio-koraban/")</f>
        <v>https://www.szaktars.hu/harmattan/view/egymasba-kapaszkodva-telepules-es-kozossegfejlesztes-a-globalizacio-koraban/</v>
      </c>
    </row>
    <row r="949" spans="1:6" x14ac:dyDescent="0.25">
      <c r="A949" t="s">
        <v>2710</v>
      </c>
      <c r="B949" t="s">
        <v>2711</v>
      </c>
      <c r="C949" t="s">
        <v>2712</v>
      </c>
      <c r="D949">
        <v>2014</v>
      </c>
      <c r="E949" t="s">
        <v>2664</v>
      </c>
      <c r="F949" t="str">
        <f>HYPERLINK("https://www.szaktars.hu/harmattan/view/nemzet-a-mindennapokban-az-ujnacionalizmus-popularis-kulturaja/", "https://www.szaktars.hu/harmattan/view/nemzet-a-mindennapokban-az-ujnacionalizmus-popularis-kulturaja/")</f>
        <v>https://www.szaktars.hu/harmattan/view/nemzet-a-mindennapokban-az-ujnacionalizmus-popularis-kulturaja/</v>
      </c>
    </row>
    <row r="950" spans="1:6" x14ac:dyDescent="0.25">
      <c r="A950" t="s">
        <v>2713</v>
      </c>
      <c r="B950" t="s">
        <v>2714</v>
      </c>
      <c r="C950" t="s">
        <v>2715</v>
      </c>
      <c r="D950">
        <v>2012</v>
      </c>
      <c r="E950" t="s">
        <v>2664</v>
      </c>
      <c r="F950" t="str">
        <f>HYPERLINK("https://www.szaktars.hu/harmattan/view/vaganyok-es-vakvaganyok-a-tarsadalompolitikaban/", "https://www.szaktars.hu/harmattan/view/vaganyok-es-vakvaganyok-a-tarsadalompolitikaban/")</f>
        <v>https://www.szaktars.hu/harmattan/view/vaganyok-es-vakvaganyok-a-tarsadalompolitikaban/</v>
      </c>
    </row>
    <row r="951" spans="1:6" x14ac:dyDescent="0.25">
      <c r="A951" t="s">
        <v>2716</v>
      </c>
      <c r="B951" t="s">
        <v>2717</v>
      </c>
      <c r="C951" t="s">
        <v>2718</v>
      </c>
      <c r="D951">
        <v>2008</v>
      </c>
      <c r="E951" t="s">
        <v>2664</v>
      </c>
      <c r="F951" t="str">
        <f>HYPERLINK("https://www.szaktars.hu/harmattan/view/fogva-tartott-gondolatok/", "https://www.szaktars.hu/harmattan/view/fogva-tartott-gondolatok/")</f>
        <v>https://www.szaktars.hu/harmattan/view/fogva-tartott-gondolatok/</v>
      </c>
    </row>
    <row r="952" spans="1:6" x14ac:dyDescent="0.25">
      <c r="A952" t="s">
        <v>2719</v>
      </c>
      <c r="B952" t="s">
        <v>2720</v>
      </c>
      <c r="C952" t="s">
        <v>2721</v>
      </c>
      <c r="D952">
        <v>2009</v>
      </c>
      <c r="E952" t="s">
        <v>2664</v>
      </c>
      <c r="F952" t="str">
        <f>HYPERLINK("https://www.szaktars.hu/harmattan/view/veszjelzesek-a-kulturarol-no-1-jelentes-a-magyar-kultura-allapotarol/", "https://www.szaktars.hu/harmattan/view/veszjelzesek-a-kulturarol-no-1-jelentes-a-magyar-kultura-allapotarol/")</f>
        <v>https://www.szaktars.hu/harmattan/view/veszjelzesek-a-kulturarol-no-1-jelentes-a-magyar-kultura-allapotarol/</v>
      </c>
    </row>
    <row r="953" spans="1:6" x14ac:dyDescent="0.25">
      <c r="A953" t="s">
        <v>2722</v>
      </c>
      <c r="B953" t="s">
        <v>2723</v>
      </c>
      <c r="C953" t="s">
        <v>2724</v>
      </c>
      <c r="D953">
        <v>2012</v>
      </c>
      <c r="E953" t="s">
        <v>2664</v>
      </c>
      <c r="F953" t="str">
        <f>HYPERLINK("https://www.szaktars.hu/harmattan/view/egy-orszag-arcai-valogatott-szociologiai-irasok-1977-2012/", "https://www.szaktars.hu/harmattan/view/egy-orszag-arcai-valogatott-szociologiai-irasok-1977-2012/")</f>
        <v>https://www.szaktars.hu/harmattan/view/egy-orszag-arcai-valogatott-szociologiai-irasok-1977-2012/</v>
      </c>
    </row>
    <row r="954" spans="1:6" x14ac:dyDescent="0.25">
      <c r="A954" t="s">
        <v>2725</v>
      </c>
      <c r="B954" t="s">
        <v>2726</v>
      </c>
      <c r="C954" t="s">
        <v>2727</v>
      </c>
      <c r="D954">
        <v>2016</v>
      </c>
      <c r="E954" t="s">
        <v>2664</v>
      </c>
      <c r="F954" t="str">
        <f>HYPERLINK("https://www.szaktars.hu/harmattan/view/ars-sociologica-vallomasok-a-szociologiarol-mint-hivatasrol/", "https://www.szaktars.hu/harmattan/view/ars-sociologica-vallomasok-a-szociologiarol-mint-hivatasrol/")</f>
        <v>https://www.szaktars.hu/harmattan/view/ars-sociologica-vallomasok-a-szociologiarol-mint-hivatasrol/</v>
      </c>
    </row>
    <row r="955" spans="1:6" x14ac:dyDescent="0.25">
      <c r="A955" t="s">
        <v>2728</v>
      </c>
      <c r="B955" t="s">
        <v>2729</v>
      </c>
      <c r="C955" t="s">
        <v>2730</v>
      </c>
      <c r="D955">
        <v>2015</v>
      </c>
      <c r="E955" t="s">
        <v>2664</v>
      </c>
      <c r="F955" t="str">
        <f>HYPERLINK("https://www.szaktars.hu/harmattan/view/lanylegeny-az-intermentalitas-es-kialakulasanak-torteneti-hattere/", "https://www.szaktars.hu/harmattan/view/lanylegeny-az-intermentalitas-es-kialakulasanak-torteneti-hattere/")</f>
        <v>https://www.szaktars.hu/harmattan/view/lanylegeny-az-intermentalitas-es-kialakulasanak-torteneti-hattere/</v>
      </c>
    </row>
    <row r="956" spans="1:6" x14ac:dyDescent="0.25">
      <c r="A956" t="s">
        <v>2731</v>
      </c>
      <c r="B956" t="s">
        <v>2729</v>
      </c>
      <c r="C956" t="s">
        <v>2732</v>
      </c>
      <c r="D956">
        <v>2008</v>
      </c>
      <c r="E956" t="s">
        <v>2664</v>
      </c>
      <c r="F956" t="str">
        <f>HYPERLINK("https://www.szaktars.hu/harmattan/view/ujnokorszak-intermentalitas-a-xx-szazad-masodik-feletol-magyarorszagon/", "https://www.szaktars.hu/harmattan/view/ujnokorszak-intermentalitas-a-xx-szazad-masodik-feletol-magyarorszagon/")</f>
        <v>https://www.szaktars.hu/harmattan/view/ujnokorszak-intermentalitas-a-xx-szazad-masodik-feletol-magyarorszagon/</v>
      </c>
    </row>
    <row r="957" spans="1:6" x14ac:dyDescent="0.25">
      <c r="A957" t="s">
        <v>2733</v>
      </c>
      <c r="B957" t="s">
        <v>2734</v>
      </c>
      <c r="C957" t="s">
        <v>2735</v>
      </c>
      <c r="D957">
        <v>2011</v>
      </c>
      <c r="E957" t="s">
        <v>2664</v>
      </c>
      <c r="F957" t="str">
        <f>HYPERLINK("https://www.szaktars.hu/harmattan/view/a-no-terei/", "https://www.szaktars.hu/harmattan/view/a-no-terei/")</f>
        <v>https://www.szaktars.hu/harmattan/view/a-no-terei/</v>
      </c>
    </row>
    <row r="958" spans="1:6" x14ac:dyDescent="0.25">
      <c r="A958" t="s">
        <v>2736</v>
      </c>
      <c r="B958" t="s">
        <v>2737</v>
      </c>
      <c r="C958" t="s">
        <v>2738</v>
      </c>
      <c r="D958">
        <v>2007</v>
      </c>
      <c r="E958" t="s">
        <v>2664</v>
      </c>
      <c r="F958" t="str">
        <f>HYPERLINK("https://www.szaktars.hu/harmattan/view/a-szervezetek-es-a-munka-vilaga/", "https://www.szaktars.hu/harmattan/view/a-szervezetek-es-a-munka-vilaga/")</f>
        <v>https://www.szaktars.hu/harmattan/view/a-szervezetek-es-a-munka-vilaga/</v>
      </c>
    </row>
    <row r="959" spans="1:6" x14ac:dyDescent="0.25">
      <c r="A959" t="s">
        <v>2739</v>
      </c>
      <c r="B959" t="s">
        <v>2740</v>
      </c>
      <c r="C959" t="s">
        <v>2741</v>
      </c>
      <c r="D959">
        <v>2011</v>
      </c>
      <c r="E959" t="s">
        <v>2664</v>
      </c>
      <c r="F959" t="str">
        <f>HYPERLINK("https://www.szaktars.hu/harmattan/view/geperzet/", "https://www.szaktars.hu/harmattan/view/geperzet/")</f>
        <v>https://www.szaktars.hu/harmattan/view/geperzet/</v>
      </c>
    </row>
    <row r="960" spans="1:6" x14ac:dyDescent="0.25">
      <c r="A960" t="s">
        <v>2742</v>
      </c>
      <c r="C960" t="s">
        <v>2743</v>
      </c>
      <c r="D960">
        <v>2016</v>
      </c>
      <c r="E960" t="s">
        <v>2664</v>
      </c>
      <c r="F960" t="str">
        <f>HYPERLINK("https://www.szaktars.hu/harmattan/view/riport-a-csaladokrol-a-csalad-ifjusag-es-nepesedespolitikai-intezet-kutatasi-eredmenyei-2015/", "https://www.szaktars.hu/harmattan/view/riport-a-csaladokrol-a-csalad-ifjusag-es-nepesedespolitikai-intezet-kutatasi-eredmenyei-2015/")</f>
        <v>https://www.szaktars.hu/harmattan/view/riport-a-csaladokrol-a-csalad-ifjusag-es-nepesedespolitikai-intezet-kutatasi-eredmenyei-2015/</v>
      </c>
    </row>
    <row r="961" spans="1:6" x14ac:dyDescent="0.25">
      <c r="A961" t="s">
        <v>2744</v>
      </c>
      <c r="B961" t="s">
        <v>2745</v>
      </c>
      <c r="C961" t="s">
        <v>2746</v>
      </c>
      <c r="D961">
        <v>2015</v>
      </c>
      <c r="E961" t="s">
        <v>2664</v>
      </c>
      <c r="F961" t="str">
        <f>HYPERLINK("https://www.szaktars.hu/harmattan/view/emlekek-formajaban/", "https://www.szaktars.hu/harmattan/view/emlekek-formajaban/")</f>
        <v>https://www.szaktars.hu/harmattan/view/emlekek-formajaban/</v>
      </c>
    </row>
    <row r="962" spans="1:6" x14ac:dyDescent="0.25">
      <c r="A962" t="s">
        <v>2747</v>
      </c>
      <c r="B962" t="s">
        <v>1031</v>
      </c>
      <c r="C962" t="s">
        <v>2748</v>
      </c>
      <c r="D962">
        <v>2016</v>
      </c>
      <c r="E962" t="s">
        <v>2664</v>
      </c>
      <c r="F962" t="str">
        <f>HYPERLINK("https://www.szaktars.hu/harmattan/view/letkerdesek-a-szuletes-korul/", "https://www.szaktars.hu/harmattan/view/letkerdesek-a-szuletes-korul/")</f>
        <v>https://www.szaktars.hu/harmattan/view/letkerdesek-a-szuletes-korul/</v>
      </c>
    </row>
    <row r="963" spans="1:6" x14ac:dyDescent="0.25">
      <c r="A963" t="s">
        <v>2749</v>
      </c>
      <c r="B963" t="s">
        <v>2750</v>
      </c>
      <c r="C963" t="s">
        <v>2751</v>
      </c>
      <c r="D963">
        <v>2015</v>
      </c>
      <c r="E963" t="s">
        <v>2664</v>
      </c>
      <c r="F963" t="str">
        <f>HYPERLINK("https://www.szaktars.hu/harmattan/view/munkanelkulisegrol-foglalkoztatasrol-egy-intezmenyrendszer-tortenete/", "https://www.szaktars.hu/harmattan/view/munkanelkulisegrol-foglalkoztatasrol-egy-intezmenyrendszer-tortenete/")</f>
        <v>https://www.szaktars.hu/harmattan/view/munkanelkulisegrol-foglalkoztatasrol-egy-intezmenyrendszer-tortenete/</v>
      </c>
    </row>
    <row r="964" spans="1:6" x14ac:dyDescent="0.25">
      <c r="A964" t="s">
        <v>2752</v>
      </c>
      <c r="B964" t="s">
        <v>2753</v>
      </c>
      <c r="C964" t="s">
        <v>2754</v>
      </c>
      <c r="D964">
        <v>2007</v>
      </c>
      <c r="E964" t="s">
        <v>2664</v>
      </c>
      <c r="F964" t="str">
        <f>HYPERLINK("https://www.szaktars.hu/harmattan/view/videkiek-es-varosiak-a-tudas-es-imazshasznalat-hatasai-a-videki-magyarorszagon/", "https://www.szaktars.hu/harmattan/view/videkiek-es-varosiak-a-tudas-es-imazshasznalat-hatasai-a-videki-magyarorszagon/")</f>
        <v>https://www.szaktars.hu/harmattan/view/videkiek-es-varosiak-a-tudas-es-imazshasznalat-hatasai-a-videki-magyarorszagon/</v>
      </c>
    </row>
    <row r="965" spans="1:6" x14ac:dyDescent="0.25">
      <c r="A965" t="s">
        <v>2755</v>
      </c>
      <c r="B965" t="s">
        <v>2756</v>
      </c>
      <c r="C965" t="s">
        <v>2757</v>
      </c>
      <c r="D965">
        <v>2016</v>
      </c>
      <c r="E965" t="s">
        <v>2664</v>
      </c>
      <c r="F965" t="str">
        <f>HYPERLINK("https://www.szaktars.hu/harmattan/view/az-eselyegyenlosegtol-a-taigetoszig-fogyatekossagtudomanyi-eredmenyek-a-masik-oldal-megertesehez/", "https://www.szaktars.hu/harmattan/view/az-eselyegyenlosegtol-a-taigetoszig-fogyatekossagtudomanyi-eredmenyek-a-masik-oldal-megertesehez/")</f>
        <v>https://www.szaktars.hu/harmattan/view/az-eselyegyenlosegtol-a-taigetoszig-fogyatekossagtudomanyi-eredmenyek-a-masik-oldal-megertesehez/</v>
      </c>
    </row>
    <row r="966" spans="1:6" x14ac:dyDescent="0.25">
      <c r="A966" t="s">
        <v>2758</v>
      </c>
      <c r="B966" t="s">
        <v>2759</v>
      </c>
      <c r="C966" t="s">
        <v>2760</v>
      </c>
      <c r="D966">
        <v>2012</v>
      </c>
      <c r="E966" t="s">
        <v>2664</v>
      </c>
      <c r="F966" t="str">
        <f>HYPERLINK("https://www.szaktars.hu/harmattan/view/leselejtezettek/", "https://www.szaktars.hu/harmattan/view/leselejtezettek/")</f>
        <v>https://www.szaktars.hu/harmattan/view/leselejtezettek/</v>
      </c>
    </row>
    <row r="967" spans="1:6" x14ac:dyDescent="0.25">
      <c r="A967" t="s">
        <v>2761</v>
      </c>
      <c r="B967" t="s">
        <v>2759</v>
      </c>
      <c r="C967" t="s">
        <v>2762</v>
      </c>
      <c r="D967">
        <v>2015</v>
      </c>
      <c r="E967" t="s">
        <v>2664</v>
      </c>
      <c r="F967" t="str">
        <f>HYPERLINK("https://www.szaktars.hu/harmattan/view/onpusztito-nemzeti-habitus/", "https://www.szaktars.hu/harmattan/view/onpusztito-nemzeti-habitus/")</f>
        <v>https://www.szaktars.hu/harmattan/view/onpusztito-nemzeti-habitus/</v>
      </c>
    </row>
    <row r="968" spans="1:6" x14ac:dyDescent="0.25">
      <c r="A968" t="s">
        <v>2763</v>
      </c>
      <c r="B968" t="s">
        <v>2764</v>
      </c>
      <c r="C968" t="s">
        <v>2765</v>
      </c>
      <c r="D968">
        <v>2013</v>
      </c>
      <c r="E968" t="s">
        <v>2664</v>
      </c>
      <c r="F968" t="str">
        <f>HYPERLINK("https://www.szaktars.hu/harmattan/view/a-nemzetkozi-es-hazai-fogyatekospolitika-a-21-szazadban/", "https://www.szaktars.hu/harmattan/view/a-nemzetkozi-es-hazai-fogyatekospolitika-a-21-szazadban/")</f>
        <v>https://www.szaktars.hu/harmattan/view/a-nemzetkozi-es-hazai-fogyatekospolitika-a-21-szazadban/</v>
      </c>
    </row>
    <row r="969" spans="1:6" x14ac:dyDescent="0.25">
      <c r="A969" t="s">
        <v>2766</v>
      </c>
      <c r="B969" t="s">
        <v>2767</v>
      </c>
      <c r="C969" t="s">
        <v>2768</v>
      </c>
      <c r="D969">
        <v>2004</v>
      </c>
      <c r="E969" t="s">
        <v>2664</v>
      </c>
      <c r="F969" t="str">
        <f>HYPERLINK("https://www.szaktars.hu/harmattan/view/telepuleskutatas-szoveggyujtemeny/", "https://www.szaktars.hu/harmattan/view/telepuleskutatas-szoveggyujtemeny/")</f>
        <v>https://www.szaktars.hu/harmattan/view/telepuleskutatas-szoveggyujtemeny/</v>
      </c>
    </row>
    <row r="970" spans="1:6" x14ac:dyDescent="0.25">
      <c r="A970" t="s">
        <v>2769</v>
      </c>
      <c r="B970" t="s">
        <v>2770</v>
      </c>
      <c r="C970" t="s">
        <v>2771</v>
      </c>
      <c r="D970">
        <v>2016</v>
      </c>
      <c r="E970" t="s">
        <v>2664</v>
      </c>
      <c r="F970" t="str">
        <f>HYPERLINK("https://www.szaktars.hu/harmattan/view/eternal-return-the-specter-of-radicalism-among-young-people-in-europe-and-hungary/", "https://www.szaktars.hu/harmattan/view/eternal-return-the-specter-of-radicalism-among-young-people-in-europe-and-hungary/")</f>
        <v>https://www.szaktars.hu/harmattan/view/eternal-return-the-specter-of-radicalism-among-young-people-in-europe-and-hungary/</v>
      </c>
    </row>
    <row r="971" spans="1:6" x14ac:dyDescent="0.25">
      <c r="A971" t="s">
        <v>2772</v>
      </c>
      <c r="B971" t="s">
        <v>2773</v>
      </c>
      <c r="C971" t="s">
        <v>2774</v>
      </c>
      <c r="D971">
        <v>2015</v>
      </c>
      <c r="E971" t="s">
        <v>2664</v>
      </c>
      <c r="F971" t="str">
        <f>HYPERLINK("https://www.szaktars.hu/harmattan/view/hatterben-kiserlet-egy-szervezeti-nemi-rend-feltarasara/", "https://www.szaktars.hu/harmattan/view/hatterben-kiserlet-egy-szervezeti-nemi-rend-feltarasara/")</f>
        <v>https://www.szaktars.hu/harmattan/view/hatterben-kiserlet-egy-szervezeti-nemi-rend-feltarasara/</v>
      </c>
    </row>
    <row r="972" spans="1:6" x14ac:dyDescent="0.25">
      <c r="A972" t="s">
        <v>2775</v>
      </c>
      <c r="B972" t="s">
        <v>2776</v>
      </c>
      <c r="C972" t="s">
        <v>2777</v>
      </c>
      <c r="D972">
        <v>2008</v>
      </c>
      <c r="E972" t="s">
        <v>2664</v>
      </c>
      <c r="F972" t="str">
        <f>HYPERLINK("https://www.szaktars.hu/harmattan/view/sokfele-modernitas-a-modernizacio-strategiai-es-modelljei-a-globalis-vilagban/", "https://www.szaktars.hu/harmattan/view/sokfele-modernitas-a-modernizacio-strategiai-es-modelljei-a-globalis-vilagban/")</f>
        <v>https://www.szaktars.hu/harmattan/view/sokfele-modernitas-a-modernizacio-strategiai-es-modelljei-a-globalis-vilagban/</v>
      </c>
    </row>
    <row r="973" spans="1:6" x14ac:dyDescent="0.25">
      <c r="A973" t="s">
        <v>2778</v>
      </c>
      <c r="B973" t="s">
        <v>2779</v>
      </c>
      <c r="C973" t="s">
        <v>2780</v>
      </c>
      <c r="D973">
        <v>2012</v>
      </c>
      <c r="E973" t="s">
        <v>2664</v>
      </c>
      <c r="F973" t="str">
        <f>HYPERLINK("https://www.szaktars.hu/harmattan/view/barkacsolt-eletutak-szekvencialis-rendszerigenyek-gyermekvedelmi-szakellatasban-nevelkedett-fiatal-felnottek-iskolai-palyafutasanak-munkaero-piaci-reszvetelenek-es-jovokepenek-vizsgalata/", "https://www.szaktars.hu/harmattan/view/barkacsolt-eletutak-szekvencialis-rendszerigenyek-gyermekvedelmi-szakellatasban-nevelkedett-fiatal-felnottek-iskolai-palyafutasanak-munkaero-piaci-reszvetelenek-es-jovokepenek-vizsgalata/")</f>
        <v>https://www.szaktars.hu/harmattan/view/barkacsolt-eletutak-szekvencialis-rendszerigenyek-gyermekvedelmi-szakellatasban-nevelkedett-fiatal-felnottek-iskolai-palyafutasanak-munkaero-piaci-reszvetelenek-es-jovokepenek-vizsgalata/</v>
      </c>
    </row>
    <row r="974" spans="1:6" x14ac:dyDescent="0.25">
      <c r="A974" t="s">
        <v>2781</v>
      </c>
      <c r="B974" t="s">
        <v>2782</v>
      </c>
      <c r="C974" t="s">
        <v>2783</v>
      </c>
      <c r="D974">
        <v>2014</v>
      </c>
      <c r="E974" t="s">
        <v>2664</v>
      </c>
      <c r="F974" t="str">
        <f>HYPERLINK("https://www.szaktars.hu/harmattan/view/a-fiatalkoru-bunozes-kriminologiaja-es-szociologiaja/", "https://www.szaktars.hu/harmattan/view/a-fiatalkoru-bunozes-kriminologiaja-es-szociologiaja/")</f>
        <v>https://www.szaktars.hu/harmattan/view/a-fiatalkoru-bunozes-kriminologiaja-es-szociologiaja/</v>
      </c>
    </row>
    <row r="975" spans="1:6" x14ac:dyDescent="0.25">
      <c r="A975" t="s">
        <v>2784</v>
      </c>
      <c r="B975" t="s">
        <v>2782</v>
      </c>
      <c r="C975" t="s">
        <v>2785</v>
      </c>
      <c r="D975">
        <v>2015</v>
      </c>
      <c r="E975" t="s">
        <v>2664</v>
      </c>
      <c r="F975" t="str">
        <f>HYPERLINK("https://www.szaktars.hu/harmattan/view/noi-elethelyzetek/", "https://www.szaktars.hu/harmattan/view/noi-elethelyzetek/")</f>
        <v>https://www.szaktars.hu/harmattan/view/noi-elethelyzetek/</v>
      </c>
    </row>
    <row r="976" spans="1:6" x14ac:dyDescent="0.25">
      <c r="A976" t="s">
        <v>2786</v>
      </c>
      <c r="B976" t="s">
        <v>2787</v>
      </c>
      <c r="C976" t="s">
        <v>2788</v>
      </c>
      <c r="D976">
        <v>2014</v>
      </c>
      <c r="E976" t="s">
        <v>2664</v>
      </c>
      <c r="F976" t="str">
        <f>HYPERLINK("https://www.szaktars.hu/harmattan/view/demokratikus-kultura-es-modernizacio-allampolgari-szocializacio-20-evvel-a-rendszervaltas-utan/", "https://www.szaktars.hu/harmattan/view/demokratikus-kultura-es-modernizacio-allampolgari-szocializacio-20-evvel-a-rendszervaltas-utan/")</f>
        <v>https://www.szaktars.hu/harmattan/view/demokratikus-kultura-es-modernizacio-allampolgari-szocializacio-20-evvel-a-rendszervaltas-utan/</v>
      </c>
    </row>
    <row r="977" spans="1:6" x14ac:dyDescent="0.25">
      <c r="A977" t="s">
        <v>2789</v>
      </c>
      <c r="B977" t="s">
        <v>2790</v>
      </c>
      <c r="C977" t="s">
        <v>2791</v>
      </c>
      <c r="D977">
        <v>2015</v>
      </c>
      <c r="E977" t="s">
        <v>2664</v>
      </c>
      <c r="F977" t="str">
        <f>HYPERLINK("https://www.szaktars.hu/harmattan/view/a-kozfoglalkoztatas-a-gazdasagi-ciklusok-kontextusaban/", "https://www.szaktars.hu/harmattan/view/a-kozfoglalkoztatas-a-gazdasagi-ciklusok-kontextusaban/")</f>
        <v>https://www.szaktars.hu/harmattan/view/a-kozfoglalkoztatas-a-gazdasagi-ciklusok-kontextusaban/</v>
      </c>
    </row>
    <row r="978" spans="1:6" x14ac:dyDescent="0.25">
      <c r="A978" t="s">
        <v>2792</v>
      </c>
      <c r="B978" t="s">
        <v>2793</v>
      </c>
      <c r="C978" t="s">
        <v>2794</v>
      </c>
      <c r="D978">
        <v>2011</v>
      </c>
      <c r="E978" t="s">
        <v>2664</v>
      </c>
      <c r="F978" t="str">
        <f>HYPERLINK("https://www.szaktars.hu/harmattan/view/homofobia-magyarorszagon/", "https://www.szaktars.hu/harmattan/view/homofobia-magyarorszagon/")</f>
        <v>https://www.szaktars.hu/harmattan/view/homofobia-magyarorszagon/</v>
      </c>
    </row>
    <row r="979" spans="1:6" x14ac:dyDescent="0.25">
      <c r="A979" t="s">
        <v>2795</v>
      </c>
      <c r="B979" t="s">
        <v>2796</v>
      </c>
      <c r="C979" t="s">
        <v>2797</v>
      </c>
      <c r="D979">
        <v>2015</v>
      </c>
      <c r="E979" t="s">
        <v>2664</v>
      </c>
      <c r="F979" t="str">
        <f>HYPERLINK("https://www.szaktars.hu/harmattan/view/munka-es-tarsadalom-a-munka-jelentesvaltozasai-a-bermunkan-innen-es-tul/", "https://www.szaktars.hu/harmattan/view/munka-es-tarsadalom-a-munka-jelentesvaltozasai-a-bermunkan-innen-es-tul/")</f>
        <v>https://www.szaktars.hu/harmattan/view/munka-es-tarsadalom-a-munka-jelentesvaltozasai-a-bermunkan-innen-es-tul/</v>
      </c>
    </row>
    <row r="980" spans="1:6" x14ac:dyDescent="0.25">
      <c r="A980" t="s">
        <v>2798</v>
      </c>
      <c r="B980" t="s">
        <v>2799</v>
      </c>
      <c r="C980" t="s">
        <v>2800</v>
      </c>
      <c r="D980">
        <v>2011</v>
      </c>
      <c r="E980" t="s">
        <v>2664</v>
      </c>
      <c r="F980" t="str">
        <f>HYPERLINK("https://www.szaktars.hu/harmattan/view/munkaspres-a-munka-kikenyszeritesenek-tortenete-az-ipari-forradalomtol-napjainkig/", "https://www.szaktars.hu/harmattan/view/munkaspres-a-munka-kikenyszeritesenek-tortenete-az-ipari-forradalomtol-napjainkig/")</f>
        <v>https://www.szaktars.hu/harmattan/view/munkaspres-a-munka-kikenyszeritesenek-tortenete-az-ipari-forradalomtol-napjainkig/</v>
      </c>
    </row>
    <row r="981" spans="1:6" x14ac:dyDescent="0.25">
      <c r="A981" t="s">
        <v>2801</v>
      </c>
      <c r="B981" t="s">
        <v>2802</v>
      </c>
      <c r="C981" t="s">
        <v>2803</v>
      </c>
      <c r="D981">
        <v>2005</v>
      </c>
      <c r="E981" t="s">
        <v>2804</v>
      </c>
      <c r="F981" t="str">
        <f>HYPERLINK("https://www.szaktars.hu/harmattan/view/szechenyi-istvan-es-sina-gyorgy-kozos-vallalkozasai/", "https://www.szaktars.hu/harmattan/view/szechenyi-istvan-es-sina-gyorgy-kozos-vallalkozasai/")</f>
        <v>https://www.szaktars.hu/harmattan/view/szechenyi-istvan-es-sina-gyorgy-kozos-vallalkozasai/</v>
      </c>
    </row>
    <row r="982" spans="1:6" x14ac:dyDescent="0.25">
      <c r="A982" t="s">
        <v>2805</v>
      </c>
      <c r="B982" t="s">
        <v>2806</v>
      </c>
      <c r="C982" t="s">
        <v>2807</v>
      </c>
      <c r="D982">
        <v>2016</v>
      </c>
      <c r="E982" t="s">
        <v>2804</v>
      </c>
      <c r="F982" t="str">
        <f>HYPERLINK("https://www.szaktars.hu/harmattan/view/natio-est-semper-reformanda-tanulmanyok-a-70-eves-gergely-andras-tiszteletere/", "https://www.szaktars.hu/harmattan/view/natio-est-semper-reformanda-tanulmanyok-a-70-eves-gergely-andras-tiszteletere/")</f>
        <v>https://www.szaktars.hu/harmattan/view/natio-est-semper-reformanda-tanulmanyok-a-70-eves-gergely-andras-tiszteletere/</v>
      </c>
    </row>
    <row r="983" spans="1:6" x14ac:dyDescent="0.25">
      <c r="A983" t="s">
        <v>2808</v>
      </c>
      <c r="B983" t="s">
        <v>1631</v>
      </c>
      <c r="C983" t="s">
        <v>2809</v>
      </c>
      <c r="D983">
        <v>2014</v>
      </c>
      <c r="E983" t="s">
        <v>2804</v>
      </c>
      <c r="F983" t="str">
        <f>HYPERLINK("https://www.szaktars.hu/harmattan/view/a-johannita-rend-magyar-tagozatanak-arckepei-halakotet-a-90-esztendoert/", "https://www.szaktars.hu/harmattan/view/a-johannita-rend-magyar-tagozatanak-arckepei-halakotet-a-90-esztendoert/")</f>
        <v>https://www.szaktars.hu/harmattan/view/a-johannita-rend-magyar-tagozatanak-arckepei-halakotet-a-90-esztendoert/</v>
      </c>
    </row>
    <row r="984" spans="1:6" x14ac:dyDescent="0.25">
      <c r="A984" t="s">
        <v>2810</v>
      </c>
      <c r="B984" t="s">
        <v>2811</v>
      </c>
      <c r="C984" t="s">
        <v>2812</v>
      </c>
      <c r="D984">
        <v>2015</v>
      </c>
      <c r="E984" t="s">
        <v>2804</v>
      </c>
      <c r="F984" t="str">
        <f>HYPERLINK("https://www.szaktars.hu/harmattan/view/a-romai-katolikus-egyhaz-es-a-nemzetiszocialistak-magyarorszagon/", "https://www.szaktars.hu/harmattan/view/a-romai-katolikus-egyhaz-es-a-nemzetiszocialistak-magyarorszagon/")</f>
        <v>https://www.szaktars.hu/harmattan/view/a-romai-katolikus-egyhaz-es-a-nemzetiszocialistak-magyarorszagon/</v>
      </c>
    </row>
    <row r="985" spans="1:6" x14ac:dyDescent="0.25">
      <c r="A985" t="s">
        <v>2813</v>
      </c>
      <c r="B985" t="s">
        <v>2814</v>
      </c>
      <c r="C985" t="s">
        <v>2815</v>
      </c>
      <c r="D985">
        <v>2011</v>
      </c>
      <c r="E985" t="s">
        <v>2804</v>
      </c>
      <c r="F985" t="str">
        <f>HYPERLINK("https://www.szaktars.hu/harmattan/view/szekelyfoldi-karrierek-az-udvarhelyszeki-nemesseg-hatalomszerzesi-lehetosegei-a-16-17-szazadban/", "https://www.szaktars.hu/harmattan/view/szekelyfoldi-karrierek-az-udvarhelyszeki-nemesseg-hatalomszerzesi-lehetosegei-a-16-17-szazadban/")</f>
        <v>https://www.szaktars.hu/harmattan/view/szekelyfoldi-karrierek-az-udvarhelyszeki-nemesseg-hatalomszerzesi-lehetosegei-a-16-17-szazadban/</v>
      </c>
    </row>
    <row r="986" spans="1:6" x14ac:dyDescent="0.25">
      <c r="A986" t="s">
        <v>2816</v>
      </c>
      <c r="B986" t="s">
        <v>2817</v>
      </c>
      <c r="C986" t="s">
        <v>2818</v>
      </c>
      <c r="D986">
        <v>2012</v>
      </c>
      <c r="E986" t="s">
        <v>2804</v>
      </c>
      <c r="F986" t="str">
        <f>HYPERLINK("https://www.szaktars.hu/harmattan/view/allami-titok-internalo-es-kenyszermunkataborok-magyarorszagon-1945-1953/", "https://www.szaktars.hu/harmattan/view/allami-titok-internalo-es-kenyszermunkataborok-magyarorszagon-1945-1953/")</f>
        <v>https://www.szaktars.hu/harmattan/view/allami-titok-internalo-es-kenyszermunkataborok-magyarorszagon-1945-1953/</v>
      </c>
    </row>
    <row r="987" spans="1:6" x14ac:dyDescent="0.25">
      <c r="A987" t="s">
        <v>2819</v>
      </c>
      <c r="B987" t="s">
        <v>2820</v>
      </c>
      <c r="C987" t="s">
        <v>2821</v>
      </c>
      <c r="D987">
        <v>2010</v>
      </c>
      <c r="E987" t="s">
        <v>2804</v>
      </c>
      <c r="F987" t="str">
        <f>HYPERLINK("https://www.szaktars.hu/harmattan/view/csapdaban-tanulmanyok-a-katolikus-egyhaz-tortenetebol-1945-1989/", "https://www.szaktars.hu/harmattan/view/csapdaban-tanulmanyok-a-katolikus-egyhaz-tortenetebol-1945-1989/")</f>
        <v>https://www.szaktars.hu/harmattan/view/csapdaban-tanulmanyok-a-katolikus-egyhaz-tortenetebol-1945-1989/</v>
      </c>
    </row>
    <row r="988" spans="1:6" x14ac:dyDescent="0.25">
      <c r="A988" t="s">
        <v>2822</v>
      </c>
      <c r="B988" t="s">
        <v>2823</v>
      </c>
      <c r="C988" t="s">
        <v>2824</v>
      </c>
      <c r="D988">
        <v>2011</v>
      </c>
      <c r="E988" t="s">
        <v>2804</v>
      </c>
      <c r="F988" t="str">
        <f>HYPERLINK("https://www.szaktars.hu/harmattan/view/jezsuitak-a-diktaturaban-a-jezus-tarsasaga-magyarorszagi-rendtartomanya-tortenete-1945-1965/", "https://www.szaktars.hu/harmattan/view/jezsuitak-a-diktaturaban-a-jezus-tarsasaga-magyarorszagi-rendtartomanya-tortenete-1945-1965/")</f>
        <v>https://www.szaktars.hu/harmattan/view/jezsuitak-a-diktaturaban-a-jezus-tarsasaga-magyarorszagi-rendtartomanya-tortenete-1945-1965/</v>
      </c>
    </row>
    <row r="989" spans="1:6" x14ac:dyDescent="0.25">
      <c r="A989" t="s">
        <v>2825</v>
      </c>
      <c r="B989" t="s">
        <v>2826</v>
      </c>
      <c r="C989" t="s">
        <v>2827</v>
      </c>
      <c r="D989">
        <v>2011</v>
      </c>
      <c r="E989" t="s">
        <v>2804</v>
      </c>
      <c r="F989" t="str">
        <f>HYPERLINK("https://www.szaktars.hu/harmattan/view/megerto-tortenelem-tanulmanyok-a-hatvaneves-gyarmati-gyorgy-tiszteletere/", "https://www.szaktars.hu/harmattan/view/megerto-tortenelem-tanulmanyok-a-hatvaneves-gyarmati-gyorgy-tiszteletere/")</f>
        <v>https://www.szaktars.hu/harmattan/view/megerto-tortenelem-tanulmanyok-a-hatvaneves-gyarmati-gyorgy-tiszteletere/</v>
      </c>
    </row>
    <row r="990" spans="1:6" x14ac:dyDescent="0.25">
      <c r="A990" t="s">
        <v>2828</v>
      </c>
      <c r="B990" t="s">
        <v>2829</v>
      </c>
      <c r="C990" t="s">
        <v>2830</v>
      </c>
      <c r="D990">
        <v>2012</v>
      </c>
      <c r="E990" t="s">
        <v>2804</v>
      </c>
      <c r="F990" t="str">
        <f>HYPERLINK("https://www.szaktars.hu/harmattan/view/hatarokon-tul-tanulmanykotet-mark-pittaway-1971-2010-emlekere/", "https://www.szaktars.hu/harmattan/view/hatarokon-tul-tanulmanykotet-mark-pittaway-1971-2010-emlekere/")</f>
        <v>https://www.szaktars.hu/harmattan/view/hatarokon-tul-tanulmanykotet-mark-pittaway-1971-2010-emlekere/</v>
      </c>
    </row>
    <row r="991" spans="1:6" x14ac:dyDescent="0.25">
      <c r="A991" t="s">
        <v>2831</v>
      </c>
      <c r="B991" t="s">
        <v>2832</v>
      </c>
      <c r="C991" t="s">
        <v>2833</v>
      </c>
      <c r="D991">
        <v>2008</v>
      </c>
      <c r="E991" t="s">
        <v>2804</v>
      </c>
      <c r="F991" t="str">
        <f>HYPERLINK("https://www.szaktars.hu/harmattan/view/zsellerbol-polgar-tarsadalmi-valtozas-egy-dunantuli-kisvarosban-keszthely-tarsadalma-1740-1849/", "https://www.szaktars.hu/harmattan/view/zsellerbol-polgar-tarsadalmi-valtozas-egy-dunantuli-kisvarosban-keszthely-tarsadalma-1740-1849/")</f>
        <v>https://www.szaktars.hu/harmattan/view/zsellerbol-polgar-tarsadalmi-valtozas-egy-dunantuli-kisvarosban-keszthely-tarsadalma-1740-1849/</v>
      </c>
    </row>
    <row r="992" spans="1:6" x14ac:dyDescent="0.25">
      <c r="A992" t="s">
        <v>2834</v>
      </c>
      <c r="B992" t="s">
        <v>2835</v>
      </c>
      <c r="C992" t="s">
        <v>2836</v>
      </c>
      <c r="D992">
        <v>2016</v>
      </c>
      <c r="E992" t="s">
        <v>2804</v>
      </c>
      <c r="F992" t="str">
        <f>HYPERLINK("https://www.szaktars.hu/harmattan/view/az-opus-deitol-a-provida-materig-allambiztonsagi-halozatok-es-egyhazi-kiskozossegek/", "https://www.szaktars.hu/harmattan/view/az-opus-deitol-a-provida-materig-allambiztonsagi-halozatok-es-egyhazi-kiskozossegek/")</f>
        <v>https://www.szaktars.hu/harmattan/view/az-opus-deitol-a-provida-materig-allambiztonsagi-halozatok-es-egyhazi-kiskozossegek/</v>
      </c>
    </row>
    <row r="993" spans="1:6" x14ac:dyDescent="0.25">
      <c r="A993" t="s">
        <v>2837</v>
      </c>
      <c r="B993" t="s">
        <v>2838</v>
      </c>
      <c r="C993" t="s">
        <v>2839</v>
      </c>
      <c r="D993">
        <v>2008</v>
      </c>
      <c r="E993" t="s">
        <v>2804</v>
      </c>
      <c r="F993" t="str">
        <f>HYPERLINK("https://www.szaktars.hu/harmattan/view/koember-allott-a-pusztan-tanulmanykotet-mandoky-kongur-istvan-emlekere/", "https://www.szaktars.hu/harmattan/view/koember-allott-a-pusztan-tanulmanykotet-mandoky-kongur-istvan-emlekere/")</f>
        <v>https://www.szaktars.hu/harmattan/view/koember-allott-a-pusztan-tanulmanykotet-mandoky-kongur-istvan-emlekere/</v>
      </c>
    </row>
    <row r="994" spans="1:6" x14ac:dyDescent="0.25">
      <c r="A994" t="s">
        <v>2840</v>
      </c>
      <c r="B994" t="s">
        <v>2841</v>
      </c>
      <c r="C994" t="s">
        <v>2842</v>
      </c>
      <c r="D994">
        <v>2006</v>
      </c>
      <c r="E994" t="s">
        <v>2804</v>
      </c>
      <c r="F994" t="str">
        <f>HYPERLINK("https://www.szaktars.hu/harmattan/view/nacionalizmus-uj-keretek-kozott/", "https://www.szaktars.hu/harmattan/view/nacionalizmus-uj-keretek-kozott/")</f>
        <v>https://www.szaktars.hu/harmattan/view/nacionalizmus-uj-keretek-kozott/</v>
      </c>
    </row>
    <row r="995" spans="1:6" x14ac:dyDescent="0.25">
      <c r="A995" t="s">
        <v>2843</v>
      </c>
      <c r="B995" t="s">
        <v>2844</v>
      </c>
      <c r="C995" t="s">
        <v>2845</v>
      </c>
      <c r="D995">
        <v>2013</v>
      </c>
      <c r="E995" t="s">
        <v>2804</v>
      </c>
      <c r="F995" t="str">
        <f>HYPERLINK("https://www.szaktars.hu/harmattan/view/a-megtorlas-szervezete-a-politikai-rendorseg-ujjaszervezese-es-mukodese-1956-1962/", "https://www.szaktars.hu/harmattan/view/a-megtorlas-szervezete-a-politikai-rendorseg-ujjaszervezese-es-mukodese-1956-1962/")</f>
        <v>https://www.szaktars.hu/harmattan/view/a-megtorlas-szervezete-a-politikai-rendorseg-ujjaszervezese-es-mukodese-1956-1962/</v>
      </c>
    </row>
    <row r="996" spans="1:6" x14ac:dyDescent="0.25">
      <c r="A996" t="s">
        <v>2846</v>
      </c>
      <c r="B996" t="s">
        <v>2847</v>
      </c>
      <c r="C996" t="s">
        <v>2848</v>
      </c>
      <c r="D996">
        <v>2012</v>
      </c>
      <c r="E996" t="s">
        <v>2804</v>
      </c>
      <c r="F996" t="str">
        <f>HYPERLINK("https://www.szaktars.hu/harmattan/view/a-tortenelem-peremen-adalekok-magyarorszag-tortenetehez-tanulmanykotet/", "https://www.szaktars.hu/harmattan/view/a-tortenelem-peremen-adalekok-magyarorszag-tortenetehez-tanulmanykotet/")</f>
        <v>https://www.szaktars.hu/harmattan/view/a-tortenelem-peremen-adalekok-magyarorszag-tortenetehez-tanulmanykotet/</v>
      </c>
    </row>
    <row r="997" spans="1:6" x14ac:dyDescent="0.25">
      <c r="A997" t="s">
        <v>2849</v>
      </c>
      <c r="B997" t="s">
        <v>2850</v>
      </c>
      <c r="C997" t="s">
        <v>2851</v>
      </c>
      <c r="D997">
        <v>2013</v>
      </c>
      <c r="E997" t="s">
        <v>2804</v>
      </c>
      <c r="F997" t="str">
        <f>HYPERLINK("https://www.szaktars.hu/harmattan/view/kibanyaszott-lignitbunok-a-rakosi-korszak-egy-banyamernokperenek-anatomiaja/", "https://www.szaktars.hu/harmattan/view/kibanyaszott-lignitbunok-a-rakosi-korszak-egy-banyamernokperenek-anatomiaja/")</f>
        <v>https://www.szaktars.hu/harmattan/view/kibanyaszott-lignitbunok-a-rakosi-korszak-egy-banyamernokperenek-anatomiaja/</v>
      </c>
    </row>
    <row r="998" spans="1:6" x14ac:dyDescent="0.25">
      <c r="A998" t="s">
        <v>2852</v>
      </c>
      <c r="B998" t="s">
        <v>2853</v>
      </c>
      <c r="C998" t="s">
        <v>2854</v>
      </c>
      <c r="D998">
        <v>2014</v>
      </c>
      <c r="E998" t="s">
        <v>2804</v>
      </c>
      <c r="F998" t="str">
        <f>HYPERLINK("https://www.szaktars.hu/harmattan/view/1989-diszkozene-a-kvangbok-sugaruton-eszak-korea-a-rendszervaltozasok-eveben/", "https://www.szaktars.hu/harmattan/view/1989-diszkozene-a-kvangbok-sugaruton-eszak-korea-a-rendszervaltozasok-eveben/")</f>
        <v>https://www.szaktars.hu/harmattan/view/1989-diszkozene-a-kvangbok-sugaruton-eszak-korea-a-rendszervaltozasok-eveben/</v>
      </c>
    </row>
    <row r="999" spans="1:6" x14ac:dyDescent="0.25">
      <c r="A999" t="s">
        <v>2855</v>
      </c>
      <c r="B999" t="s">
        <v>2856</v>
      </c>
      <c r="C999" t="s">
        <v>2857</v>
      </c>
      <c r="D999">
        <v>2005</v>
      </c>
      <c r="E999" t="s">
        <v>2804</v>
      </c>
      <c r="F999" t="str">
        <f>HYPERLINK("https://www.szaktars.hu/harmattan/view/szechenyi-istvan-es-sina-gyorgy-kozos-vallalkozasai-1/", "https://www.szaktars.hu/harmattan/view/szechenyi-istvan-es-sina-gyorgy-kozos-vallalkozasai-1/")</f>
        <v>https://www.szaktars.hu/harmattan/view/szechenyi-istvan-es-sina-gyorgy-kozos-vallalkozasai-1/</v>
      </c>
    </row>
    <row r="1000" spans="1:6" x14ac:dyDescent="0.25">
      <c r="A1000" t="s">
        <v>2858</v>
      </c>
      <c r="B1000" t="s">
        <v>2859</v>
      </c>
      <c r="C1000" t="s">
        <v>2860</v>
      </c>
      <c r="D1000">
        <v>2011</v>
      </c>
      <c r="E1000" t="s">
        <v>2804</v>
      </c>
      <c r="F1000" t="str">
        <f>HYPERLINK("https://www.szaktars.hu/harmattan/view/a-baross-koztarsasag-1956-a-vii-keruleti-felkelocsoportok/", "https://www.szaktars.hu/harmattan/view/a-baross-koztarsasag-1956-a-vii-keruleti-felkelocsoportok/")</f>
        <v>https://www.szaktars.hu/harmattan/view/a-baross-koztarsasag-1956-a-vii-keruleti-felkelocsoportok/</v>
      </c>
    </row>
    <row r="1001" spans="1:6" x14ac:dyDescent="0.25">
      <c r="A1001" t="s">
        <v>2861</v>
      </c>
      <c r="B1001" t="s">
        <v>2862</v>
      </c>
      <c r="C1001" t="s">
        <v>2863</v>
      </c>
      <c r="D1001">
        <v>2008</v>
      </c>
      <c r="E1001" t="s">
        <v>2804</v>
      </c>
      <c r="F1001" t="str">
        <f>HYPERLINK("https://www.szaktars.hu/harmattan/view/portre-es-imazs-politikai-propaganda-es-reprezentacio-a-kora-ujkorban/", "https://www.szaktars.hu/harmattan/view/portre-es-imazs-politikai-propaganda-es-reprezentacio-a-kora-ujkorban/")</f>
        <v>https://www.szaktars.hu/harmattan/view/portre-es-imazs-politikai-propaganda-es-reprezentacio-a-kora-ujkorban/</v>
      </c>
    </row>
    <row r="1002" spans="1:6" x14ac:dyDescent="0.25">
      <c r="A1002" t="s">
        <v>2864</v>
      </c>
      <c r="B1002" t="s">
        <v>2865</v>
      </c>
      <c r="C1002" t="s">
        <v>2866</v>
      </c>
      <c r="D1002">
        <v>2010</v>
      </c>
      <c r="E1002" t="s">
        <v>2804</v>
      </c>
      <c r="F1002" t="str">
        <f>HYPERLINK("https://www.szaktars.hu/harmattan/view/szinleles-es-rejtozkodes-a-kora-ujkori-magyar-politika-szerepjatekai/", "https://www.szaktars.hu/harmattan/view/szinleles-es-rejtozkodes-a-kora-ujkori-magyar-politika-szerepjatekai/")</f>
        <v>https://www.szaktars.hu/harmattan/view/szinleles-es-rejtozkodes-a-kora-ujkori-magyar-politika-szerepjatekai/</v>
      </c>
    </row>
    <row r="1003" spans="1:6" x14ac:dyDescent="0.25">
      <c r="A1003" t="s">
        <v>2867</v>
      </c>
      <c r="B1003" t="s">
        <v>2868</v>
      </c>
      <c r="C1003" t="s">
        <v>2869</v>
      </c>
      <c r="D1003">
        <v>2009</v>
      </c>
      <c r="E1003" t="s">
        <v>2804</v>
      </c>
      <c r="F1003" t="str">
        <f>HYPERLINK("https://www.szaktars.hu/harmattan/view/pamflet-es-politika-a-hatalmi-egyensuly-es-magyarorszag-a-17-szazadi-nemet-propagandaban/", "https://www.szaktars.hu/harmattan/view/pamflet-es-politika-a-hatalmi-egyensuly-es-magyarorszag-a-17-szazadi-nemet-propagandaban/")</f>
        <v>https://www.szaktars.hu/harmattan/view/pamflet-es-politika-a-hatalmi-egyensuly-es-magyarorszag-a-17-szazadi-nemet-propagandaban/</v>
      </c>
    </row>
    <row r="1004" spans="1:6" x14ac:dyDescent="0.25">
      <c r="A1004" t="s">
        <v>2870</v>
      </c>
      <c r="B1004" t="s">
        <v>2871</v>
      </c>
      <c r="C1004" t="s">
        <v>2872</v>
      </c>
      <c r="D1004">
        <v>2014</v>
      </c>
      <c r="E1004" t="s">
        <v>2804</v>
      </c>
      <c r="F1004" t="str">
        <f>HYPERLINK("https://www.szaktars.hu/harmattan/view/az-elrabolt-emberolto-masodik-bovitett-kiadas/", "https://www.szaktars.hu/harmattan/view/az-elrabolt-emberolto-masodik-bovitett-kiadas/")</f>
        <v>https://www.szaktars.hu/harmattan/view/az-elrabolt-emberolto-masodik-bovitett-kiadas/</v>
      </c>
    </row>
    <row r="1005" spans="1:6" x14ac:dyDescent="0.25">
      <c r="A1005" t="s">
        <v>2873</v>
      </c>
      <c r="B1005" t="s">
        <v>2874</v>
      </c>
      <c r="C1005" t="s">
        <v>2875</v>
      </c>
      <c r="D1005">
        <v>2014</v>
      </c>
      <c r="E1005" t="s">
        <v>2804</v>
      </c>
      <c r="F1005" t="str">
        <f>HYPERLINK("https://www.szaktars.hu/harmattan/view/kohalombol-fovaros-buda-varos-hetkoznapjai-a-18-szazad-elejen/", "https://www.szaktars.hu/harmattan/view/kohalombol-fovaros-buda-varos-hetkoznapjai-a-18-szazad-elejen/")</f>
        <v>https://www.szaktars.hu/harmattan/view/kohalombol-fovaros-buda-varos-hetkoznapjai-a-18-szazad-elejen/</v>
      </c>
    </row>
    <row r="1006" spans="1:6" x14ac:dyDescent="0.25">
      <c r="A1006" t="s">
        <v>2876</v>
      </c>
      <c r="B1006" t="s">
        <v>2877</v>
      </c>
      <c r="C1006" t="s">
        <v>2878</v>
      </c>
      <c r="D1006">
        <v>2006</v>
      </c>
      <c r="E1006" t="s">
        <v>2804</v>
      </c>
      <c r="F1006" t="str">
        <f>HYPERLINK("https://www.szaktars.hu/harmattan/view/autonomiak-magyarorszagon-1848-2000-i-kotet/", "https://www.szaktars.hu/harmattan/view/autonomiak-magyarorszagon-1848-2000-i-kotet/")</f>
        <v>https://www.szaktars.hu/harmattan/view/autonomiak-magyarorszagon-1848-2000-i-kotet/</v>
      </c>
    </row>
    <row r="1007" spans="1:6" x14ac:dyDescent="0.25">
      <c r="A1007" t="s">
        <v>2879</v>
      </c>
      <c r="B1007" t="s">
        <v>2877</v>
      </c>
      <c r="C1007" t="s">
        <v>2880</v>
      </c>
      <c r="D1007">
        <v>2006</v>
      </c>
      <c r="E1007" t="s">
        <v>2804</v>
      </c>
      <c r="F1007" t="str">
        <f>HYPERLINK("https://www.szaktars.hu/harmattan/view/autonomiak-magyarorszagon-1848-2000-ii-kotet/", "https://www.szaktars.hu/harmattan/view/autonomiak-magyarorszagon-1848-2000-ii-kotet/")</f>
        <v>https://www.szaktars.hu/harmattan/view/autonomiak-magyarorszagon-1848-2000-ii-kotet/</v>
      </c>
    </row>
    <row r="1008" spans="1:6" x14ac:dyDescent="0.25">
      <c r="A1008" t="s">
        <v>2881</v>
      </c>
      <c r="B1008" t="s">
        <v>2877</v>
      </c>
      <c r="C1008" t="s">
        <v>2882</v>
      </c>
      <c r="D1008">
        <v>2006</v>
      </c>
      <c r="E1008" t="s">
        <v>2804</v>
      </c>
      <c r="F1008" t="str">
        <f>HYPERLINK("https://www.szaktars.hu/harmattan/view/autonomiak-magyarorszagon-1848-2000-iii-kotet/", "https://www.szaktars.hu/harmattan/view/autonomiak-magyarorszagon-1848-2000-iii-kotet/")</f>
        <v>https://www.szaktars.hu/harmattan/view/autonomiak-magyarorszagon-1848-2000-iii-kotet/</v>
      </c>
    </row>
    <row r="1009" spans="1:6" x14ac:dyDescent="0.25">
      <c r="A1009" t="s">
        <v>2883</v>
      </c>
      <c r="B1009" t="s">
        <v>2877</v>
      </c>
      <c r="C1009" t="s">
        <v>2884</v>
      </c>
      <c r="D1009">
        <v>2006</v>
      </c>
      <c r="E1009" t="s">
        <v>2804</v>
      </c>
      <c r="F1009" t="str">
        <f>HYPERLINK("https://www.szaktars.hu/harmattan/view/autonomien-in-ungarn-1848-2000-studienband/", "https://www.szaktars.hu/harmattan/view/autonomien-in-ungarn-1848-2000-studienband/")</f>
        <v>https://www.szaktars.hu/harmattan/view/autonomien-in-ungarn-1848-2000-studienband/</v>
      </c>
    </row>
    <row r="1010" spans="1:6" x14ac:dyDescent="0.25">
      <c r="A1010" t="s">
        <v>2885</v>
      </c>
      <c r="B1010" t="s">
        <v>2877</v>
      </c>
      <c r="C1010" t="s">
        <v>2886</v>
      </c>
      <c r="D1010">
        <v>2006</v>
      </c>
      <c r="E1010" t="s">
        <v>2804</v>
      </c>
      <c r="F1010" t="str">
        <f>HYPERLINK("https://www.szaktars.hu/harmattan/view/fejezetek-az-uj-es-jelenkori-magyar-tortenelembol-tanulmanyok/", "https://www.szaktars.hu/harmattan/view/fejezetek-az-uj-es-jelenkori-magyar-tortenelembol-tanulmanyok/")</f>
        <v>https://www.szaktars.hu/harmattan/view/fejezetek-az-uj-es-jelenkori-magyar-tortenelembol-tanulmanyok/</v>
      </c>
    </row>
    <row r="1011" spans="1:6" x14ac:dyDescent="0.25">
      <c r="A1011" t="s">
        <v>2887</v>
      </c>
      <c r="B1011" t="s">
        <v>2888</v>
      </c>
      <c r="C1011" t="s">
        <v>2889</v>
      </c>
      <c r="D1011">
        <v>2006</v>
      </c>
      <c r="E1011" t="s">
        <v>2804</v>
      </c>
      <c r="F1011" t="str">
        <f>HYPERLINK("https://www.szaktars.hu/harmattan/view/being-hungarian-christian-european/", "https://www.szaktars.hu/harmattan/view/being-hungarian-christian-european/")</f>
        <v>https://www.szaktars.hu/harmattan/view/being-hungarian-christian-european/</v>
      </c>
    </row>
    <row r="1012" spans="1:6" x14ac:dyDescent="0.25">
      <c r="A1012" t="s">
        <v>2890</v>
      </c>
      <c r="B1012" t="s">
        <v>2891</v>
      </c>
      <c r="C1012" t="s">
        <v>2892</v>
      </c>
      <c r="D1012">
        <v>2014</v>
      </c>
      <c r="E1012" t="s">
        <v>2804</v>
      </c>
      <c r="F1012" t="str">
        <f>HYPERLINK("https://www.szaktars.hu/harmattan/view/gabonakereskedelem-magyarorszagon-a-19-szazad-elso-feleben/", "https://www.szaktars.hu/harmattan/view/gabonakereskedelem-magyarorszagon-a-19-szazad-elso-feleben/")</f>
        <v>https://www.szaktars.hu/harmattan/view/gabonakereskedelem-magyarorszagon-a-19-szazad-elso-feleben/</v>
      </c>
    </row>
    <row r="1013" spans="1:6" x14ac:dyDescent="0.25">
      <c r="A1013" t="s">
        <v>2893</v>
      </c>
      <c r="B1013" t="s">
        <v>2894</v>
      </c>
      <c r="C1013" t="s">
        <v>2895</v>
      </c>
      <c r="D1013">
        <v>2012</v>
      </c>
      <c r="E1013" t="s">
        <v>2804</v>
      </c>
      <c r="F1013" t="str">
        <f>HYPERLINK("https://www.szaktars.hu/harmattan/view/egyhaz-tarsadalom-es-muvelodes-bod-peter-1712-1769-koraban/", "https://www.szaktars.hu/harmattan/view/egyhaz-tarsadalom-es-muvelodes-bod-peter-1712-1769-koraban/")</f>
        <v>https://www.szaktars.hu/harmattan/view/egyhaz-tarsadalom-es-muvelodes-bod-peter-1712-1769-koraban/</v>
      </c>
    </row>
    <row r="1014" spans="1:6" x14ac:dyDescent="0.25">
      <c r="A1014" t="s">
        <v>2896</v>
      </c>
      <c r="B1014" t="s">
        <v>2897</v>
      </c>
      <c r="C1014" t="s">
        <v>2898</v>
      </c>
      <c r="D1014">
        <v>2012</v>
      </c>
      <c r="E1014" t="s">
        <v>2804</v>
      </c>
      <c r="F1014" t="str">
        <f>HYPERLINK("https://www.szaktars.hu/harmattan/view/a-nagy-testver-szatocsboltja-tanulmanyok-a-magyar-titkosszolgalatok-1945-utani-tortenetebol/", "https://www.szaktars.hu/harmattan/view/a-nagy-testver-szatocsboltja-tanulmanyok-a-magyar-titkosszolgalatok-1945-utani-tortenetebol/")</f>
        <v>https://www.szaktars.hu/harmattan/view/a-nagy-testver-szatocsboltja-tanulmanyok-a-magyar-titkosszolgalatok-1945-utani-tortenetebol/</v>
      </c>
    </row>
    <row r="1015" spans="1:6" x14ac:dyDescent="0.25">
      <c r="A1015" t="s">
        <v>2899</v>
      </c>
      <c r="B1015" t="s">
        <v>2900</v>
      </c>
      <c r="C1015" t="s">
        <v>2901</v>
      </c>
      <c r="D1015">
        <v>2011</v>
      </c>
      <c r="E1015" t="s">
        <v>2804</v>
      </c>
      <c r="F1015" t="str">
        <f>HYPERLINK("https://www.szaktars.hu/harmattan/view/lehetetlen-kuldetes-jezsuitak-erdelyben-es-felso-magyarorszagon-16-17-szazadban/", "https://www.szaktars.hu/harmattan/view/lehetetlen-kuldetes-jezsuitak-erdelyben-es-felso-magyarorszagon-16-17-szazadban/")</f>
        <v>https://www.szaktars.hu/harmattan/view/lehetetlen-kuldetes-jezsuitak-erdelyben-es-felso-magyarorszagon-16-17-szazadban/</v>
      </c>
    </row>
    <row r="1016" spans="1:6" x14ac:dyDescent="0.25">
      <c r="A1016" t="s">
        <v>2902</v>
      </c>
      <c r="B1016" t="s">
        <v>2903</v>
      </c>
      <c r="C1016" t="s">
        <v>2904</v>
      </c>
      <c r="D1016">
        <v>2014</v>
      </c>
      <c r="E1016" t="s">
        <v>2804</v>
      </c>
      <c r="F1016" t="str">
        <f>HYPERLINK("https://www.szaktars.hu/harmattan/view/a-paneuropai-piknik-es-hatarattores-husz-ev-tavlatabol/", "https://www.szaktars.hu/harmattan/view/a-paneuropai-piknik-es-hatarattores-husz-ev-tavlatabol/")</f>
        <v>https://www.szaktars.hu/harmattan/view/a-paneuropai-piknik-es-hatarattores-husz-ev-tavlatabol/</v>
      </c>
    </row>
    <row r="1017" spans="1:6" x14ac:dyDescent="0.25">
      <c r="A1017" t="s">
        <v>2905</v>
      </c>
      <c r="B1017" t="s">
        <v>2903</v>
      </c>
      <c r="C1017" t="s">
        <v>2906</v>
      </c>
      <c r="D1017">
        <v>2014</v>
      </c>
      <c r="E1017" t="s">
        <v>2804</v>
      </c>
      <c r="F1017" t="str">
        <f>HYPERLINK("https://www.szaktars.hu/harmattan/view/a-paneuropai-piknik-es-hatarattores-1989/", "https://www.szaktars.hu/harmattan/view/a-paneuropai-piknik-es-hatarattores-1989/")</f>
        <v>https://www.szaktars.hu/harmattan/view/a-paneuropai-piknik-es-hatarattores-1989/</v>
      </c>
    </row>
    <row r="1018" spans="1:6" x14ac:dyDescent="0.25">
      <c r="A1018" t="s">
        <v>2907</v>
      </c>
      <c r="B1018" t="s">
        <v>2903</v>
      </c>
      <c r="C1018" t="s">
        <v>2904</v>
      </c>
      <c r="D1018">
        <v>2014</v>
      </c>
      <c r="E1018" t="s">
        <v>2804</v>
      </c>
      <c r="F1018" t="str">
        <f>HYPERLINK("https://www.szaktars.hu/harmattan/view/das-vorspiel-fur-die-grenzoffnung-das-paneuropaische-picknick-in-sopron-am-19-august-1989/", "https://www.szaktars.hu/harmattan/view/das-vorspiel-fur-die-grenzoffnung-das-paneuropaische-picknick-in-sopron-am-19-august-1989/")</f>
        <v>https://www.szaktars.hu/harmattan/view/das-vorspiel-fur-die-grenzoffnung-das-paneuropaische-picknick-in-sopron-am-19-august-1989/</v>
      </c>
    </row>
    <row r="1019" spans="1:6" x14ac:dyDescent="0.25">
      <c r="A1019" t="s">
        <v>2908</v>
      </c>
      <c r="B1019" t="s">
        <v>2909</v>
      </c>
      <c r="C1019" t="s">
        <v>2910</v>
      </c>
      <c r="D1019">
        <v>2013</v>
      </c>
      <c r="E1019" t="s">
        <v>2804</v>
      </c>
      <c r="F1019" t="str">
        <f>HYPERLINK("https://www.szaktars.hu/harmattan/view/trojai-falo-a-belugyminiszteriumban-az-avh-szerkezete-es-vezerkara-1953-1956/", "https://www.szaktars.hu/harmattan/view/trojai-falo-a-belugyminiszteriumban-az-avh-szerkezete-es-vezerkara-1953-1956/")</f>
        <v>https://www.szaktars.hu/harmattan/view/trojai-falo-a-belugyminiszteriumban-az-avh-szerkezete-es-vezerkara-1953-1956/</v>
      </c>
    </row>
    <row r="1020" spans="1:6" x14ac:dyDescent="0.25">
      <c r="A1020" t="s">
        <v>2911</v>
      </c>
      <c r="B1020" t="s">
        <v>2912</v>
      </c>
      <c r="C1020" t="s">
        <v>2913</v>
      </c>
      <c r="D1020">
        <v>2012</v>
      </c>
      <c r="E1020" t="s">
        <v>2804</v>
      </c>
      <c r="F1020" t="str">
        <f>HYPERLINK("https://www.szaktars.hu/harmattan/view/big-brothers-miserable-little-grocery-store-studies-on-the-history-of-the-hungarian-secret-services-after-world-war-ii/", "https://www.szaktars.hu/harmattan/view/big-brothers-miserable-little-grocery-store-studies-on-the-history-of-the-hungarian-secret-services-after-world-war-ii/")</f>
        <v>https://www.szaktars.hu/harmattan/view/big-brothers-miserable-little-grocery-store-studies-on-the-history-of-the-hungarian-secret-services-after-world-war-ii/</v>
      </c>
    </row>
    <row r="1021" spans="1:6" x14ac:dyDescent="0.25">
      <c r="A1021" t="s">
        <v>2914</v>
      </c>
      <c r="B1021" t="s">
        <v>2915</v>
      </c>
      <c r="C1021" t="s">
        <v>2916</v>
      </c>
      <c r="D1021">
        <v>2013</v>
      </c>
      <c r="E1021" t="s">
        <v>2804</v>
      </c>
      <c r="F1021" t="str">
        <f>HYPERLINK("https://www.szaktars.hu/harmattan/view/kisebbseg-es-tobbseg-kozott-a-magyar-es-a-zsidoizraeli-etnikai-es-kulturalis-tapasztalatok-az-elmult-szazadokban/", "https://www.szaktars.hu/harmattan/view/kisebbseg-es-tobbseg-kozott-a-magyar-es-a-zsidoizraeli-etnikai-es-kulturalis-tapasztalatok-az-elmult-szazadokban/")</f>
        <v>https://www.szaktars.hu/harmattan/view/kisebbseg-es-tobbseg-kozott-a-magyar-es-a-zsidoizraeli-etnikai-es-kulturalis-tapasztalatok-az-elmult-szazadokban/</v>
      </c>
    </row>
    <row r="1022" spans="1:6" x14ac:dyDescent="0.25">
      <c r="A1022" t="s">
        <v>2917</v>
      </c>
      <c r="B1022" t="s">
        <v>2918</v>
      </c>
      <c r="C1022" t="s">
        <v>2919</v>
      </c>
      <c r="D1022">
        <v>2016</v>
      </c>
      <c r="E1022" t="s">
        <v>2804</v>
      </c>
      <c r="F1022" t="str">
        <f>HYPERLINK("https://www.szaktars.hu/harmattan/view/muveszet-es-mesterseg-tisztelgo-kotet-r-varkonyi-agnes-emlekere/", "https://www.szaktars.hu/harmattan/view/muveszet-es-mesterseg-tisztelgo-kotet-r-varkonyi-agnes-emlekere/")</f>
        <v>https://www.szaktars.hu/harmattan/view/muveszet-es-mesterseg-tisztelgo-kotet-r-varkonyi-agnes-emlekere/</v>
      </c>
    </row>
    <row r="1023" spans="1:6" x14ac:dyDescent="0.25">
      <c r="A1023" t="s">
        <v>2920</v>
      </c>
      <c r="B1023" t="s">
        <v>2918</v>
      </c>
      <c r="C1023" t="s">
        <v>2921</v>
      </c>
      <c r="D1023">
        <v>2016</v>
      </c>
      <c r="E1023" t="s">
        <v>2804</v>
      </c>
      <c r="F1023" t="str">
        <f>HYPERLINK("https://www.szaktars.hu/harmattan/view/muveszet-es-mesterseg-tisztelgo-kotet-r-varkonyi-agnes-emlekere-1/", "https://www.szaktars.hu/harmattan/view/muveszet-es-mesterseg-tisztelgo-kotet-r-varkonyi-agnes-emlekere-1/")</f>
        <v>https://www.szaktars.hu/harmattan/view/muveszet-es-mesterseg-tisztelgo-kotet-r-varkonyi-agnes-emlekere-1/</v>
      </c>
    </row>
    <row r="1024" spans="1:6" x14ac:dyDescent="0.25">
      <c r="A1024" t="s">
        <v>2922</v>
      </c>
      <c r="B1024" t="s">
        <v>2923</v>
      </c>
      <c r="C1024" t="s">
        <v>2924</v>
      </c>
      <c r="D1024">
        <v>2012</v>
      </c>
      <c r="E1024" t="s">
        <v>2804</v>
      </c>
      <c r="F1024" t="str">
        <f>HYPERLINK("https://www.szaktars.hu/harmattan/view/tortenelmet-irunk-tisztelgo-kotet-ladanyi-sandor-75-szuletesnapja-alkalmabol/", "https://www.szaktars.hu/harmattan/view/tortenelmet-irunk-tisztelgo-kotet-ladanyi-sandor-75-szuletesnapja-alkalmabol/")</f>
        <v>https://www.szaktars.hu/harmattan/view/tortenelmet-irunk-tisztelgo-kotet-ladanyi-sandor-75-szuletesnapja-alkalmabol/</v>
      </c>
    </row>
    <row r="1025" spans="1:6" x14ac:dyDescent="0.25">
      <c r="A1025" t="s">
        <v>2925</v>
      </c>
      <c r="B1025" t="s">
        <v>2926</v>
      </c>
      <c r="C1025" t="s">
        <v>2927</v>
      </c>
      <c r="D1025">
        <v>2015</v>
      </c>
      <c r="E1025" t="s">
        <v>2804</v>
      </c>
      <c r="F1025" t="str">
        <f>HYPERLINK("https://www.szaktars.hu/harmattan/view/tanulmanyok-a-magyarorszagi-reformatus-egyhaz-tortenetebol-/", "https://www.szaktars.hu/harmattan/view/tanulmanyok-a-magyarorszagi-reformatus-egyhaz-tortenetebol-/")</f>
        <v>https://www.szaktars.hu/harmattan/view/tanulmanyok-a-magyarorszagi-reformatus-egyhaz-tortenetebol-/</v>
      </c>
    </row>
    <row r="1026" spans="1:6" x14ac:dyDescent="0.25">
      <c r="A1026" t="s">
        <v>2928</v>
      </c>
      <c r="B1026" t="s">
        <v>2929</v>
      </c>
      <c r="C1026" t="s">
        <v>2930</v>
      </c>
      <c r="D1026">
        <v>2004</v>
      </c>
      <c r="E1026" t="s">
        <v>2804</v>
      </c>
      <c r="F1026" t="str">
        <f>HYPERLINK("https://www.szaktars.hu/harmattan/view/a-trianoni-vadlott-megszolal-tudomanyos-palya-es-torteneti-kor-horvath-jeno-magyar-diplomaciatortenesz-munkassagaban/", "https://www.szaktars.hu/harmattan/view/a-trianoni-vadlott-megszolal-tudomanyos-palya-es-torteneti-kor-horvath-jeno-magyar-diplomaciatortenesz-munkassagaban/")</f>
        <v>https://www.szaktars.hu/harmattan/view/a-trianoni-vadlott-megszolal-tudomanyos-palya-es-torteneti-kor-horvath-jeno-magyar-diplomaciatortenesz-munkassagaban/</v>
      </c>
    </row>
    <row r="1027" spans="1:6" x14ac:dyDescent="0.25">
      <c r="A1027" t="s">
        <v>2931</v>
      </c>
      <c r="B1027" t="s">
        <v>2932</v>
      </c>
      <c r="C1027" t="s">
        <v>2933</v>
      </c>
      <c r="D1027">
        <v>2013</v>
      </c>
      <c r="E1027" t="s">
        <v>2804</v>
      </c>
      <c r="F1027" t="str">
        <f>HYPERLINK("https://www.szaktars.hu/harmattan/view/metszetek-a-torok-kor-mindennapjaibol-tanulmanyok-a-17-szazadi-magyar-hodoltsagi-peremvidekrol/", "https://www.szaktars.hu/harmattan/view/metszetek-a-torok-kor-mindennapjaibol-tanulmanyok-a-17-szazadi-magyar-hodoltsagi-peremvidekrol/")</f>
        <v>https://www.szaktars.hu/harmattan/view/metszetek-a-torok-kor-mindennapjaibol-tanulmanyok-a-17-szazadi-magyar-hodoltsagi-peremvidekrol/</v>
      </c>
    </row>
    <row r="1028" spans="1:6" x14ac:dyDescent="0.25">
      <c r="A1028" t="s">
        <v>2934</v>
      </c>
      <c r="B1028" t="s">
        <v>2932</v>
      </c>
      <c r="C1028" t="s">
        <v>2935</v>
      </c>
      <c r="D1028">
        <v>2013</v>
      </c>
      <c r="E1028" t="s">
        <v>2804</v>
      </c>
      <c r="F1028" t="str">
        <f>HYPERLINK("https://www.szaktars.hu/harmattan/view/minden-nap-haboru-a-magyar-kiralysagbeli-torok-kartetelek-anatomiaja1627-1642/", "https://www.szaktars.hu/harmattan/view/minden-nap-haboru-a-magyar-kiralysagbeli-torok-kartetelek-anatomiaja1627-1642/")</f>
        <v>https://www.szaktars.hu/harmattan/view/minden-nap-haboru-a-magyar-kiralysagbeli-torok-kartetelek-anatomiaja1627-1642/</v>
      </c>
    </row>
    <row r="1029" spans="1:6" x14ac:dyDescent="0.25">
      <c r="A1029" t="s">
        <v>2936</v>
      </c>
      <c r="B1029" t="s">
        <v>2932</v>
      </c>
      <c r="C1029" t="s">
        <v>2937</v>
      </c>
      <c r="D1029">
        <v>2011</v>
      </c>
      <c r="E1029" t="s">
        <v>2804</v>
      </c>
      <c r="F1029" t="str">
        <f>HYPERLINK("https://www.szaktars.hu/harmattan/view/torteneszek-vitak-a-16-17-szazadi-magyar-tortenelemrol/", "https://www.szaktars.hu/harmattan/view/torteneszek-vitak-a-16-17-szazadi-magyar-tortenelemrol/")</f>
        <v>https://www.szaktars.hu/harmattan/view/torteneszek-vitak-a-16-17-szazadi-magyar-tortenelemrol/</v>
      </c>
    </row>
    <row r="1030" spans="1:6" x14ac:dyDescent="0.25">
      <c r="A1030" t="s">
        <v>2938</v>
      </c>
      <c r="B1030" t="s">
        <v>2939</v>
      </c>
      <c r="C1030" t="s">
        <v>2940</v>
      </c>
      <c r="D1030">
        <v>2014</v>
      </c>
      <c r="E1030" t="s">
        <v>2804</v>
      </c>
      <c r="F1030" t="str">
        <f>HYPERLINK("https://www.szaktars.hu/harmattan/view/berlobol-polgar-papa-varos-zsido-kozossegenek-tarsadalom-es-gazdasagtortenete-1748-1848/", "https://www.szaktars.hu/harmattan/view/berlobol-polgar-papa-varos-zsido-kozossegenek-tarsadalom-es-gazdasagtortenete-1748-1848/")</f>
        <v>https://www.szaktars.hu/harmattan/view/berlobol-polgar-papa-varos-zsido-kozossegenek-tarsadalom-es-gazdasagtortenete-1748-1848/</v>
      </c>
    </row>
    <row r="1031" spans="1:6" x14ac:dyDescent="0.25">
      <c r="A1031" t="s">
        <v>2941</v>
      </c>
      <c r="B1031" t="s">
        <v>2942</v>
      </c>
      <c r="C1031" t="s">
        <v>2943</v>
      </c>
      <c r="D1031">
        <v>2008</v>
      </c>
      <c r="E1031" t="s">
        <v>2804</v>
      </c>
      <c r="F1031" t="str">
        <f>HYPERLINK("https://www.szaktars.hu/harmattan/view/magyarorszag-1938-egy-amerikai-szemevel-margaret-bourke-white-fotoi-szerencses-karoly-esszeivel/", "https://www.szaktars.hu/harmattan/view/magyarorszag-1938-egy-amerikai-szemevel-margaret-bourke-white-fotoi-szerencses-karoly-esszeivel/")</f>
        <v>https://www.szaktars.hu/harmattan/view/magyarorszag-1938-egy-amerikai-szemevel-margaret-bourke-white-fotoi-szerencses-karoly-esszeivel/</v>
      </c>
    </row>
    <row r="1032" spans="1:6" x14ac:dyDescent="0.25">
      <c r="A1032" t="s">
        <v>2944</v>
      </c>
      <c r="B1032" t="s">
        <v>2945</v>
      </c>
      <c r="C1032" t="s">
        <v>2946</v>
      </c>
      <c r="D1032">
        <v>2006</v>
      </c>
      <c r="E1032" t="s">
        <v>2804</v>
      </c>
      <c r="F1032" t="str">
        <f>HYPERLINK("https://www.szaktars.hu/harmattan/view/eckhardt-tibor-amerikai-evei-1941-1972/", "https://www.szaktars.hu/harmattan/view/eckhardt-tibor-amerikai-evei-1941-1972/")</f>
        <v>https://www.szaktars.hu/harmattan/view/eckhardt-tibor-amerikai-evei-1941-1972/</v>
      </c>
    </row>
    <row r="1033" spans="1:6" x14ac:dyDescent="0.25">
      <c r="A1033" t="s">
        <v>2947</v>
      </c>
      <c r="B1033" t="s">
        <v>2948</v>
      </c>
      <c r="C1033" t="s">
        <v>2949</v>
      </c>
      <c r="D1033">
        <v>2009</v>
      </c>
      <c r="E1033" t="s">
        <v>2804</v>
      </c>
      <c r="F1033" t="str">
        <f>HYPERLINK("https://www.szaktars.hu/harmattan/view/kiralygyilkossag-marseille-ben-eckhardt-tibor-visszaemlekezesei/", "https://www.szaktars.hu/harmattan/view/kiralygyilkossag-marseille-ben-eckhardt-tibor-visszaemlekezesei/")</f>
        <v>https://www.szaktars.hu/harmattan/view/kiralygyilkossag-marseille-ben-eckhardt-tibor-visszaemlekezesei/</v>
      </c>
    </row>
    <row r="1034" spans="1:6" x14ac:dyDescent="0.25">
      <c r="A1034" t="s">
        <v>2950</v>
      </c>
      <c r="B1034" t="s">
        <v>2951</v>
      </c>
      <c r="C1034" t="s">
        <v>2952</v>
      </c>
      <c r="D1034">
        <v>2003</v>
      </c>
      <c r="E1034" t="s">
        <v>2804</v>
      </c>
      <c r="F1034" t="str">
        <f>HYPERLINK("https://www.szaktars.hu/harmattan/view/emigracio-es-identitas-56-os-menekultek-svajcban/", "https://www.szaktars.hu/harmattan/view/emigracio-es-identitas-56-os-menekultek-svajcban/")</f>
        <v>https://www.szaktars.hu/harmattan/view/emigracio-es-identitas-56-os-menekultek-svajcban/</v>
      </c>
    </row>
    <row r="1035" spans="1:6" x14ac:dyDescent="0.25">
      <c r="A1035" t="s">
        <v>2953</v>
      </c>
      <c r="B1035" t="s">
        <v>2954</v>
      </c>
      <c r="C1035" t="s">
        <v>2955</v>
      </c>
      <c r="D1035">
        <v>2013</v>
      </c>
      <c r="E1035" t="s">
        <v>2804</v>
      </c>
      <c r="F1035" t="str">
        <f>HYPERLINK("https://www.szaktars.hu/harmattan/view/egy-kozep-europai-odusszeia-a-17-szazadban-harsanyt-nagy-jakab-elete/", "https://www.szaktars.hu/harmattan/view/egy-kozep-europai-odusszeia-a-17-szazadban-harsanyt-nagy-jakab-elete/")</f>
        <v>https://www.szaktars.hu/harmattan/view/egy-kozep-europai-odusszeia-a-17-szazadban-harsanyt-nagy-jakab-elete/</v>
      </c>
    </row>
    <row r="1036" spans="1:6" x14ac:dyDescent="0.25">
      <c r="A1036" t="s">
        <v>2956</v>
      </c>
      <c r="B1036" t="s">
        <v>2954</v>
      </c>
      <c r="C1036" t="s">
        <v>2957</v>
      </c>
      <c r="D1036">
        <v>2011</v>
      </c>
      <c r="E1036" t="s">
        <v>2804</v>
      </c>
      <c r="F1036" t="str">
        <f>HYPERLINK("https://www.szaktars.hu/harmattan/view/erdelyi-kulpolitika-a-vesztfaliai-beke-utan/", "https://www.szaktars.hu/harmattan/view/erdelyi-kulpolitika-a-vesztfaliai-beke-utan/")</f>
        <v>https://www.szaktars.hu/harmattan/view/erdelyi-kulpolitika-a-vesztfaliai-beke-utan/</v>
      </c>
    </row>
    <row r="1037" spans="1:6" x14ac:dyDescent="0.25">
      <c r="A1037" t="s">
        <v>2958</v>
      </c>
      <c r="B1037" t="s">
        <v>2959</v>
      </c>
      <c r="C1037" t="s">
        <v>2960</v>
      </c>
      <c r="D1037">
        <v>2010</v>
      </c>
      <c r="E1037" t="s">
        <v>2804</v>
      </c>
      <c r="F1037" t="str">
        <f>HYPERLINK("https://www.szaktars.hu/harmattan/view/a-tanarok-helye-a-kozepiskolai-tanarsagprofesszionalizacioja-a-19-szazad-masodik-feleben-magyar-porosz-osszehasonlitasban/", "https://www.szaktars.hu/harmattan/view/a-tanarok-helye-a-kozepiskolai-tanarsagprofesszionalizacioja-a-19-szazad-masodik-feleben-magyar-porosz-osszehasonlitasban/")</f>
        <v>https://www.szaktars.hu/harmattan/view/a-tanarok-helye-a-kozepiskolai-tanarsagprofesszionalizacioja-a-19-szazad-masodik-feleben-magyar-porosz-osszehasonlitasban/</v>
      </c>
    </row>
    <row r="1038" spans="1:6" x14ac:dyDescent="0.25">
      <c r="A1038" t="s">
        <v>2961</v>
      </c>
      <c r="B1038" t="s">
        <v>2962</v>
      </c>
      <c r="C1038" t="s">
        <v>2963</v>
      </c>
      <c r="D1038">
        <v>2012</v>
      </c>
      <c r="E1038" t="s">
        <v>2804</v>
      </c>
      <c r="F1038" t="str">
        <f>HYPERLINK("https://www.szaktars.hu/harmattan/view/hogyan-uldozzunk-egyhazakat-allambiztonsagi-tankonyv-tartotiszteknek/", "https://www.szaktars.hu/harmattan/view/hogyan-uldozzunk-egyhazakat-allambiztonsagi-tankonyv-tartotiszteknek/")</f>
        <v>https://www.szaktars.hu/harmattan/view/hogyan-uldozzunk-egyhazakat-allambiztonsagi-tankonyv-tartotiszteknek/</v>
      </c>
    </row>
    <row r="1039" spans="1:6" x14ac:dyDescent="0.25">
      <c r="A1039" t="s">
        <v>2964</v>
      </c>
      <c r="B1039" t="s">
        <v>2965</v>
      </c>
      <c r="C1039" t="s">
        <v>2966</v>
      </c>
      <c r="D1039">
        <v>2010</v>
      </c>
      <c r="E1039" t="s">
        <v>2804</v>
      </c>
      <c r="F1039" t="str">
        <f>HYPERLINK("https://www.szaktars.hu/harmattan/view/magocsy-dietz-sandor-mindennapi-tortenet-egy-egyetemi-tanarrol/", "https://www.szaktars.hu/harmattan/view/magocsy-dietz-sandor-mindennapi-tortenet-egy-egyetemi-tanarrol/")</f>
        <v>https://www.szaktars.hu/harmattan/view/magocsy-dietz-sandor-mindennapi-tortenet-egy-egyetemi-tanarrol/</v>
      </c>
    </row>
    <row r="1040" spans="1:6" x14ac:dyDescent="0.25">
      <c r="A1040" t="s">
        <v>2967</v>
      </c>
      <c r="B1040" t="s">
        <v>2965</v>
      </c>
      <c r="C1040" t="s">
        <v>2968</v>
      </c>
      <c r="D1040">
        <v>2016</v>
      </c>
      <c r="E1040" t="s">
        <v>2804</v>
      </c>
      <c r="F1040" t="str">
        <f>HYPERLINK("https://www.szaktars.hu/harmattan/view/negy-felvideki-varos/", "https://www.szaktars.hu/harmattan/view/negy-felvideki-varos/")</f>
        <v>https://www.szaktars.hu/harmattan/view/negy-felvideki-varos/</v>
      </c>
    </row>
    <row r="1041" spans="1:6" x14ac:dyDescent="0.25">
      <c r="A1041" t="s">
        <v>2969</v>
      </c>
      <c r="B1041" t="s">
        <v>2970</v>
      </c>
      <c r="C1041" t="s">
        <v>2971</v>
      </c>
      <c r="D1041">
        <v>2007</v>
      </c>
      <c r="E1041" t="s">
        <v>2804</v>
      </c>
      <c r="F1041" t="str">
        <f>HYPERLINK("https://www.szaktars.hu/harmattan/view/epuletek-emlekezete-nevezetes-epuletek-erdelyben/", "https://www.szaktars.hu/harmattan/view/epuletek-emlekezete-nevezetes-epuletek-erdelyben/")</f>
        <v>https://www.szaktars.hu/harmattan/view/epuletek-emlekezete-nevezetes-epuletek-erdelyben/</v>
      </c>
    </row>
    <row r="1042" spans="1:6" x14ac:dyDescent="0.25">
      <c r="A1042" t="s">
        <v>2972</v>
      </c>
      <c r="B1042" t="s">
        <v>2973</v>
      </c>
      <c r="C1042" t="s">
        <v>2974</v>
      </c>
      <c r="D1042">
        <v>2012</v>
      </c>
      <c r="E1042" t="s">
        <v>2804</v>
      </c>
      <c r="F1042" t="str">
        <f>HYPERLINK("https://www.szaktars.hu/harmattan/view/a-titkosszolgalatok-halojaban/", "https://www.szaktars.hu/harmattan/view/a-titkosszolgalatok-halojaban/")</f>
        <v>https://www.szaktars.hu/harmattan/view/a-titkosszolgalatok-halojaban/</v>
      </c>
    </row>
    <row r="1043" spans="1:6" x14ac:dyDescent="0.25">
      <c r="A1043" t="s">
        <v>2975</v>
      </c>
      <c r="B1043" t="s">
        <v>2976</v>
      </c>
      <c r="C1043" t="s">
        <v>2977</v>
      </c>
      <c r="D1043">
        <v>2008</v>
      </c>
      <c r="E1043" t="s">
        <v>2804</v>
      </c>
      <c r="F1043" t="str">
        <f>HYPERLINK("https://www.szaktars.hu/harmattan/view/allambiztonsag-es-olimpia-1956-1988/", "https://www.szaktars.hu/harmattan/view/allambiztonsag-es-olimpia-1956-1988/")</f>
        <v>https://www.szaktars.hu/harmattan/view/allambiztonsag-es-olimpia-1956-1988/</v>
      </c>
    </row>
    <row r="1044" spans="1:6" x14ac:dyDescent="0.25">
      <c r="A1044" t="s">
        <v>2978</v>
      </c>
      <c r="B1044" t="s">
        <v>2979</v>
      </c>
      <c r="C1044" t="s">
        <v>2980</v>
      </c>
      <c r="D1044">
        <v>2009</v>
      </c>
      <c r="E1044" t="s">
        <v>2804</v>
      </c>
      <c r="F1044" t="str">
        <f>HYPERLINK("https://www.szaktars.hu/harmattan/view/dokumentumok-a-magyar-politikai-rendorseg-tortenetebol-1-a-politikai-rendeszeti-osztalyok-1945-1946/", "https://www.szaktars.hu/harmattan/view/dokumentumok-a-magyar-politikai-rendorseg-tortenetebol-1-a-politikai-rendeszeti-osztalyok-1945-1946/")</f>
        <v>https://www.szaktars.hu/harmattan/view/dokumentumok-a-magyar-politikai-rendorseg-tortenetebol-1-a-politikai-rendeszeti-osztalyok-1945-1946/</v>
      </c>
    </row>
    <row r="1045" spans="1:6" x14ac:dyDescent="0.25">
      <c r="A1045" t="s">
        <v>2981</v>
      </c>
      <c r="B1045" t="s">
        <v>2982</v>
      </c>
      <c r="C1045" t="s">
        <v>2983</v>
      </c>
      <c r="D1045">
        <v>2013</v>
      </c>
      <c r="E1045" t="s">
        <v>2804</v>
      </c>
      <c r="F1045" t="str">
        <f>HYPERLINK("https://www.szaktars.hu/harmattan/view/a-part-belugye-a-politikai-rendorseg-es-az-mszmp-a-korai-kadar-korszakban-1956-1962/", "https://www.szaktars.hu/harmattan/view/a-part-belugye-a-politikai-rendorseg-es-az-mszmp-a-korai-kadar-korszakban-1956-1962/")</f>
        <v>https://www.szaktars.hu/harmattan/view/a-part-belugye-a-politikai-rendorseg-es-az-mszmp-a-korai-kadar-korszakban-1956-1962/</v>
      </c>
    </row>
    <row r="1046" spans="1:6" x14ac:dyDescent="0.25">
      <c r="A1046" t="s">
        <v>2984</v>
      </c>
      <c r="B1046" t="s">
        <v>2985</v>
      </c>
      <c r="C1046" t="s">
        <v>2986</v>
      </c>
      <c r="D1046">
        <v>2015</v>
      </c>
      <c r="E1046" t="s">
        <v>2804</v>
      </c>
      <c r="F1046" t="str">
        <f>HYPERLINK("https://www.szaktars.hu/harmattan/view/dokumentumok-a-magyar-politikai-rendorseg-tortenetebol-2-az-allamvedelmi-osztaly-1946-1948/", "https://www.szaktars.hu/harmattan/view/dokumentumok-a-magyar-politikai-rendorseg-tortenetebol-2-az-allamvedelmi-osztaly-1946-1948/")</f>
        <v>https://www.szaktars.hu/harmattan/view/dokumentumok-a-magyar-politikai-rendorseg-tortenetebol-2-az-allamvedelmi-osztaly-1946-1948/</v>
      </c>
    </row>
    <row r="1047" spans="1:6" x14ac:dyDescent="0.25">
      <c r="A1047" t="s">
        <v>2987</v>
      </c>
      <c r="B1047" t="s">
        <v>2988</v>
      </c>
      <c r="C1047" t="s">
        <v>2989</v>
      </c>
      <c r="D1047">
        <v>2010</v>
      </c>
      <c r="E1047" t="s">
        <v>2804</v>
      </c>
      <c r="F1047" t="str">
        <f>HYPERLINK("https://www.szaktars.hu/harmattan/view/1919-a-magyarorszagi-tanacskoztarsasag-es-a-kelet-europai-forradalmak/", "https://www.szaktars.hu/harmattan/view/1919-a-magyarorszagi-tanacskoztarsasag-es-a-kelet-europai-forradalmak/")</f>
        <v>https://www.szaktars.hu/harmattan/view/1919-a-magyarorszagi-tanacskoztarsasag-es-a-kelet-europai-forradalmak/</v>
      </c>
    </row>
    <row r="1048" spans="1:6" x14ac:dyDescent="0.25">
      <c r="A1048" t="s">
        <v>2990</v>
      </c>
      <c r="B1048" t="s">
        <v>2991</v>
      </c>
      <c r="C1048" t="s">
        <v>2992</v>
      </c>
      <c r="D1048">
        <v>2010</v>
      </c>
      <c r="E1048" t="s">
        <v>2804</v>
      </c>
      <c r="F1048" t="str">
        <f>HYPERLINK("https://www.szaktars.hu/harmattan/view/rendszervaltas-es-tortenelem-tanulmanyok-a-kelet-europai-atalakulasrol/", "https://www.szaktars.hu/harmattan/view/rendszervaltas-es-tortenelem-tanulmanyok-a-kelet-europai-atalakulasrol/")</f>
        <v>https://www.szaktars.hu/harmattan/view/rendszervaltas-es-tortenelem-tanulmanyok-a-kelet-europai-atalakulasrol/</v>
      </c>
    </row>
    <row r="1049" spans="1:6" x14ac:dyDescent="0.25">
      <c r="A1049" t="s">
        <v>2993</v>
      </c>
      <c r="B1049" t="s">
        <v>2994</v>
      </c>
      <c r="C1049" t="s">
        <v>2995</v>
      </c>
      <c r="D1049">
        <v>2013</v>
      </c>
      <c r="E1049" t="s">
        <v>2804</v>
      </c>
      <c r="F1049" t="str">
        <f>HYPERLINK("https://www.szaktars.hu/harmattan/view/a-magyar-megszallo-csapatok-a-szovjetunioban-leveltari-dokumentumok-1941-1947/", "https://www.szaktars.hu/harmattan/view/a-magyar-megszallo-csapatok-a-szovjetunioban-leveltari-dokumentumok-1941-1947/")</f>
        <v>https://www.szaktars.hu/harmattan/view/a-magyar-megszallo-csapatok-a-szovjetunioban-leveltari-dokumentumok-1941-1947/</v>
      </c>
    </row>
    <row r="1050" spans="1:6" x14ac:dyDescent="0.25">
      <c r="A1050" t="s">
        <v>2996</v>
      </c>
      <c r="B1050" t="s">
        <v>2997</v>
      </c>
      <c r="C1050" t="s">
        <v>2998</v>
      </c>
      <c r="D1050">
        <v>2003</v>
      </c>
      <c r="E1050" t="s">
        <v>2804</v>
      </c>
      <c r="F1050" t="str">
        <f>HYPERLINK("https://www.szaktars.hu/harmattan/view/szechenyi-elajul-pszichotorteneti-tanulmanyok/", "https://www.szaktars.hu/harmattan/view/szechenyi-elajul-pszichotorteneti-tanulmanyok/")</f>
        <v>https://www.szaktars.hu/harmattan/view/szechenyi-elajul-pszichotorteneti-tanulmanyok/</v>
      </c>
    </row>
    <row r="1051" spans="1:6" x14ac:dyDescent="0.25">
      <c r="A1051" t="s">
        <v>2999</v>
      </c>
      <c r="B1051" t="s">
        <v>3000</v>
      </c>
      <c r="C1051" t="s">
        <v>3001</v>
      </c>
      <c r="D1051">
        <v>2016</v>
      </c>
      <c r="E1051" t="s">
        <v>2804</v>
      </c>
      <c r="F1051" t="str">
        <f>HYPERLINK("https://www.szaktars.hu/harmattan/view/a-karpat-medencei-ciganysag-es-a-keresztyen-egyhazak-kapcsolatanak-forrasai-1567-1953/", "https://www.szaktars.hu/harmattan/view/a-karpat-medencei-ciganysag-es-a-keresztyen-egyhazak-kapcsolatanak-forrasai-1567-1953/")</f>
        <v>https://www.szaktars.hu/harmattan/view/a-karpat-medencei-ciganysag-es-a-keresztyen-egyhazak-kapcsolatanak-forrasai-1567-1953/</v>
      </c>
    </row>
    <row r="1052" spans="1:6" x14ac:dyDescent="0.25">
      <c r="A1052" t="s">
        <v>3002</v>
      </c>
      <c r="B1052" t="s">
        <v>3003</v>
      </c>
      <c r="C1052" t="s">
        <v>3004</v>
      </c>
      <c r="D1052">
        <v>2003</v>
      </c>
      <c r="E1052" t="s">
        <v>2804</v>
      </c>
      <c r="F1052" t="str">
        <f>HYPERLINK("https://www.szaktars.hu/harmattan/view/ujsagok-es-ujsagolvasok-ferenc-jozsef-koraban/", "https://www.szaktars.hu/harmattan/view/ujsagok-es-ujsagolvasok-ferenc-jozsef-koraban/")</f>
        <v>https://www.szaktars.hu/harmattan/view/ujsagok-es-ujsagolvasok-ferenc-jozsef-koraban/</v>
      </c>
    </row>
    <row r="1053" spans="1:6" x14ac:dyDescent="0.25">
      <c r="A1053" t="s">
        <v>3005</v>
      </c>
      <c r="B1053" t="s">
        <v>3006</v>
      </c>
      <c r="C1053" t="s">
        <v>3007</v>
      </c>
      <c r="D1053">
        <v>2015</v>
      </c>
      <c r="E1053" t="s">
        <v>2804</v>
      </c>
      <c r="F1053" t="str">
        <f>HYPERLINK("https://www.szaktars.hu/harmattan/view/a-felvidek-kronikasa-tanulmanyok-a-70-eves-popely-gyula-tiszteletere/", "https://www.szaktars.hu/harmattan/view/a-felvidek-kronikasa-tanulmanyok-a-70-eves-popely-gyula-tiszteletere/")</f>
        <v>https://www.szaktars.hu/harmattan/view/a-felvidek-kronikasa-tanulmanyok-a-70-eves-popely-gyula-tiszteletere/</v>
      </c>
    </row>
    <row r="1054" spans="1:6" x14ac:dyDescent="0.25">
      <c r="A1054" t="s">
        <v>3008</v>
      </c>
      <c r="B1054" t="s">
        <v>3009</v>
      </c>
      <c r="C1054" t="s">
        <v>3010</v>
      </c>
      <c r="D1054">
        <v>2010</v>
      </c>
      <c r="E1054" t="s">
        <v>2804</v>
      </c>
      <c r="F1054" t="str">
        <f>HYPERLINK("https://www.szaktars.hu/harmattan/view/kolozsvari-ispotaly-szamadasok-ii-a-szent-erzsebet-ispotaly-szamadaskonyvei-1601-1650/", "https://www.szaktars.hu/harmattan/view/kolozsvari-ispotaly-szamadasok-ii-a-szent-erzsebet-ispotaly-szamadaskonyvei-1601-1650/")</f>
        <v>https://www.szaktars.hu/harmattan/view/kolozsvari-ispotaly-szamadasok-ii-a-szent-erzsebet-ispotaly-szamadaskonyvei-1601-1650/</v>
      </c>
    </row>
    <row r="1055" spans="1:6" x14ac:dyDescent="0.25">
      <c r="A1055" t="s">
        <v>3011</v>
      </c>
      <c r="B1055" t="s">
        <v>3012</v>
      </c>
      <c r="C1055" t="s">
        <v>3013</v>
      </c>
      <c r="D1055">
        <v>2015</v>
      </c>
      <c r="E1055" t="s">
        <v>2804</v>
      </c>
      <c r="F1055" t="str">
        <f>HYPERLINK("https://www.szaktars.hu/harmattan/view/az-alkotmanyozas-politikai-nyelve-1848-49-ben/", "https://www.szaktars.hu/harmattan/view/az-alkotmanyozas-politikai-nyelve-1848-49-ben/")</f>
        <v>https://www.szaktars.hu/harmattan/view/az-alkotmanyozas-politikai-nyelve-1848-49-ben/</v>
      </c>
    </row>
    <row r="1056" spans="1:6" x14ac:dyDescent="0.25">
      <c r="A1056" t="s">
        <v>3014</v>
      </c>
      <c r="B1056" t="s">
        <v>3015</v>
      </c>
      <c r="C1056" t="s">
        <v>3016</v>
      </c>
      <c r="D1056">
        <v>2010</v>
      </c>
      <c r="E1056" t="s">
        <v>2804</v>
      </c>
      <c r="F1056" t="str">
        <f>HYPERLINK("https://www.szaktars.hu/harmattan/view/szigoruan-titkos-89-a-magyar-allambiztonsagi-szervek-munkabeszamoloi/", "https://www.szaktars.hu/harmattan/view/szigoruan-titkos-89-a-magyar-allambiztonsagi-szervek-munkabeszamoloi/")</f>
        <v>https://www.szaktars.hu/harmattan/view/szigoruan-titkos-89-a-magyar-allambiztonsagi-szervek-munkabeszamoloi/</v>
      </c>
    </row>
    <row r="1057" spans="1:6" x14ac:dyDescent="0.25">
      <c r="A1057" t="s">
        <v>3017</v>
      </c>
      <c r="B1057" t="s">
        <v>3018</v>
      </c>
      <c r="C1057" t="s">
        <v>3019</v>
      </c>
      <c r="D1057">
        <v>2011</v>
      </c>
      <c r="E1057" t="s">
        <v>2804</v>
      </c>
      <c r="F1057" t="str">
        <f>HYPERLINK("https://www.szaktars.hu/harmattan/view/titkok-kepek-nyolcvanas-evek-the-secret-pictures-of-the-eighties/", "https://www.szaktars.hu/harmattan/view/titkok-kepek-nyolcvanas-evek-the-secret-pictures-of-the-eighties/")</f>
        <v>https://www.szaktars.hu/harmattan/view/titkok-kepek-nyolcvanas-evek-the-secret-pictures-of-the-eighties/</v>
      </c>
    </row>
    <row r="1058" spans="1:6" x14ac:dyDescent="0.25">
      <c r="A1058" t="s">
        <v>3020</v>
      </c>
      <c r="B1058" t="s">
        <v>3021</v>
      </c>
      <c r="C1058" t="s">
        <v>3022</v>
      </c>
      <c r="D1058">
        <v>2012</v>
      </c>
      <c r="E1058" t="s">
        <v>2804</v>
      </c>
      <c r="F1058" t="str">
        <f>HYPERLINK("https://www.szaktars.hu/harmattan/view/a-del-erdelyi-reformatus-egyhazkeruleti-resz-tortenete-1940-1945/", "https://www.szaktars.hu/harmattan/view/a-del-erdelyi-reformatus-egyhazkeruleti-resz-tortenete-1940-1945/")</f>
        <v>https://www.szaktars.hu/harmattan/view/a-del-erdelyi-reformatus-egyhazkeruleti-resz-tortenete-1940-1945/</v>
      </c>
    </row>
    <row r="1059" spans="1:6" x14ac:dyDescent="0.25">
      <c r="A1059" t="s">
        <v>3023</v>
      </c>
      <c r="B1059" t="s">
        <v>3024</v>
      </c>
      <c r="C1059" t="s">
        <v>3025</v>
      </c>
      <c r="D1059">
        <v>2016</v>
      </c>
      <c r="E1059" t="s">
        <v>2804</v>
      </c>
      <c r="F1059" t="str">
        <f>HYPERLINK("https://www.szaktars.hu/harmattan/view/egy-hadmernok-eletutja-haris-bela-1901-1979/", "https://www.szaktars.hu/harmattan/view/egy-hadmernok-eletutja-haris-bela-1901-1979/")</f>
        <v>https://www.szaktars.hu/harmattan/view/egy-hadmernok-eletutja-haris-bela-1901-1979/</v>
      </c>
    </row>
    <row r="1060" spans="1:6" x14ac:dyDescent="0.25">
      <c r="A1060" t="s">
        <v>3026</v>
      </c>
      <c r="B1060" t="s">
        <v>3027</v>
      </c>
      <c r="C1060" t="s">
        <v>3028</v>
      </c>
      <c r="D1060">
        <v>2015</v>
      </c>
      <c r="E1060" t="s">
        <v>2804</v>
      </c>
      <c r="F1060" t="str">
        <f>HYPERLINK("https://www.szaktars.hu/harmattan/view/bolyai-farkas-hotani-elmeletei-kemencerako-onto-tapasztalatai-mint-kemencemester-is-orszagszerte-hires/", "https://www.szaktars.hu/harmattan/view/bolyai-farkas-hotani-elmeletei-kemencerako-onto-tapasztalatai-mint-kemencemester-is-orszagszerte-hires/")</f>
        <v>https://www.szaktars.hu/harmattan/view/bolyai-farkas-hotani-elmeletei-kemencerako-onto-tapasztalatai-mint-kemencemester-is-orszagszerte-hires/</v>
      </c>
    </row>
    <row r="1061" spans="1:6" x14ac:dyDescent="0.25">
      <c r="A1061" t="s">
        <v>3029</v>
      </c>
      <c r="B1061" t="s">
        <v>3030</v>
      </c>
      <c r="C1061" t="s">
        <v>3031</v>
      </c>
      <c r="D1061">
        <v>2013</v>
      </c>
      <c r="E1061" t="s">
        <v>2804</v>
      </c>
      <c r="F1061" t="str">
        <f>HYPERLINK("https://www.szaktars.hu/harmattan/view/amikor-fellazult-tetelben-fogalmazodott-meg-a-vilag-magyarorszag-a-hatvanas-evekben/", "https://www.szaktars.hu/harmattan/view/amikor-fellazult-tetelben-fogalmazodott-meg-a-vilag-magyarorszag-a-hatvanas-evekben/")</f>
        <v>https://www.szaktars.hu/harmattan/view/amikor-fellazult-tetelben-fogalmazodott-meg-a-vilag-magyarorszag-a-hatvanas-evekben/</v>
      </c>
    </row>
    <row r="1062" spans="1:6" x14ac:dyDescent="0.25">
      <c r="A1062" t="s">
        <v>3032</v>
      </c>
      <c r="B1062" t="s">
        <v>3033</v>
      </c>
      <c r="C1062" t="s">
        <v>3034</v>
      </c>
      <c r="D1062">
        <v>2016</v>
      </c>
      <c r="E1062" t="s">
        <v>2804</v>
      </c>
      <c r="F1062" t="str">
        <f>HYPERLINK("https://www.szaktars.hu/harmattan/view/nemzet-sors-identitas-europai-latoszogu-magyar/", "https://www.szaktars.hu/harmattan/view/nemzet-sors-identitas-europai-latoszogu-magyar/")</f>
        <v>https://www.szaktars.hu/harmattan/view/nemzet-sors-identitas-europai-latoszogu-magyar/</v>
      </c>
    </row>
    <row r="1063" spans="1:6" x14ac:dyDescent="0.25">
      <c r="A1063" t="s">
        <v>3035</v>
      </c>
      <c r="B1063" t="s">
        <v>3036</v>
      </c>
      <c r="C1063" t="s">
        <v>3037</v>
      </c>
      <c r="D1063">
        <v>2012</v>
      </c>
      <c r="E1063" t="s">
        <v>2804</v>
      </c>
      <c r="F1063" t="str">
        <f>HYPERLINK("https://www.szaktars.hu/harmattan/view/a-bun-nyomaban-a-budapesti-bunozes-tarsadalomtortenete-1896-1914/", "https://www.szaktars.hu/harmattan/view/a-bun-nyomaban-a-budapesti-bunozes-tarsadalomtortenete-1896-1914/")</f>
        <v>https://www.szaktars.hu/harmattan/view/a-bun-nyomaban-a-budapesti-bunozes-tarsadalomtortenete-1896-1914/</v>
      </c>
    </row>
    <row r="1064" spans="1:6" x14ac:dyDescent="0.25">
      <c r="A1064" t="s">
        <v>3038</v>
      </c>
      <c r="B1064" t="s">
        <v>3039</v>
      </c>
      <c r="C1064" t="s">
        <v>3040</v>
      </c>
      <c r="D1064">
        <v>2008</v>
      </c>
      <c r="E1064" t="s">
        <v>2804</v>
      </c>
      <c r="F1064" t="str">
        <f>HYPERLINK("https://www.szaktars.hu/harmattan/view/hazassag-a-regi-magyarorszagon-16-17-szazad/", "https://www.szaktars.hu/harmattan/view/hazassag-a-regi-magyarorszagon-16-17-szazad/")</f>
        <v>https://www.szaktars.hu/harmattan/view/hazassag-a-regi-magyarorszagon-16-17-szazad/</v>
      </c>
    </row>
    <row r="1065" spans="1:6" x14ac:dyDescent="0.25">
      <c r="A1065" t="s">
        <v>3041</v>
      </c>
      <c r="B1065" t="s">
        <v>3042</v>
      </c>
      <c r="C1065" t="s">
        <v>3043</v>
      </c>
      <c r="D1065">
        <v>2016</v>
      </c>
      <c r="E1065" t="s">
        <v>2804</v>
      </c>
      <c r="F1065" t="str">
        <f>HYPERLINK("https://www.szaktars.hu/harmattan/view/nepiblog-az-elmult-evek-irasai-2014-2016/", "https://www.szaktars.hu/harmattan/view/nepiblog-az-elmult-evek-irasai-2014-2016/")</f>
        <v>https://www.szaktars.hu/harmattan/view/nepiblog-az-elmult-evek-irasai-2014-2016/</v>
      </c>
    </row>
    <row r="1066" spans="1:6" x14ac:dyDescent="0.25">
      <c r="A1066" t="s">
        <v>3044</v>
      </c>
      <c r="B1066" t="s">
        <v>3045</v>
      </c>
      <c r="C1066" t="s">
        <v>3046</v>
      </c>
      <c r="D1066">
        <v>2012</v>
      </c>
      <c r="E1066" t="s">
        <v>2804</v>
      </c>
      <c r="F1066" t="str">
        <f>HYPERLINK("https://www.szaktars.hu/harmattan/view/a-huszadik-szazad-emlekezete-a-galga-menten/", "https://www.szaktars.hu/harmattan/view/a-huszadik-szazad-emlekezete-a-galga-menten/")</f>
        <v>https://www.szaktars.hu/harmattan/view/a-huszadik-szazad-emlekezete-a-galga-menten/</v>
      </c>
    </row>
    <row r="1067" spans="1:6" x14ac:dyDescent="0.25">
      <c r="A1067" t="s">
        <v>3047</v>
      </c>
      <c r="B1067" t="s">
        <v>3048</v>
      </c>
      <c r="C1067" t="s">
        <v>3049</v>
      </c>
      <c r="D1067">
        <v>2010</v>
      </c>
      <c r="E1067" t="s">
        <v>2804</v>
      </c>
      <c r="F1067" t="str">
        <f>HYPERLINK("https://www.szaktars.hu/harmattan/view/a-felsovalyi-vincze-csalad-tortenete-karrierek-es-konfliktusok-egy-nagykun-familia-eleteben-1745-1867/", "https://www.szaktars.hu/harmattan/view/a-felsovalyi-vincze-csalad-tortenete-karrierek-es-konfliktusok-egy-nagykun-familia-eleteben-1745-1867/")</f>
        <v>https://www.szaktars.hu/harmattan/view/a-felsovalyi-vincze-csalad-tortenete-karrierek-es-konfliktusok-egy-nagykun-familia-eleteben-1745-1867/</v>
      </c>
    </row>
    <row r="1068" spans="1:6" x14ac:dyDescent="0.25">
      <c r="A1068" t="s">
        <v>3050</v>
      </c>
      <c r="B1068" t="s">
        <v>3051</v>
      </c>
      <c r="C1068" t="s">
        <v>3052</v>
      </c>
      <c r="D1068">
        <v>2011</v>
      </c>
      <c r="E1068" t="s">
        <v>2804</v>
      </c>
      <c r="F1068" t="str">
        <f>HYPERLINK("https://www.szaktars.hu/harmattan/view/bevezetes-a-kadarizmusba/", "https://www.szaktars.hu/harmattan/view/bevezetes-a-kadarizmusba/")</f>
        <v>https://www.szaktars.hu/harmattan/view/bevezetes-a-kadarizmusba/</v>
      </c>
    </row>
    <row r="1069" spans="1:6" x14ac:dyDescent="0.25">
      <c r="A1069" t="s">
        <v>3053</v>
      </c>
      <c r="B1069" t="s">
        <v>3054</v>
      </c>
      <c r="C1069" t="s">
        <v>3055</v>
      </c>
      <c r="D1069">
        <v>2004</v>
      </c>
      <c r="E1069" t="s">
        <v>2804</v>
      </c>
      <c r="F1069" t="str">
        <f>HYPERLINK("https://www.szaktars.hu/harmattan/view/mitosz-es-emlekezet/", "https://www.szaktars.hu/harmattan/view/mitosz-es-emlekezet/")</f>
        <v>https://www.szaktars.hu/harmattan/view/mitosz-es-emlekezet/</v>
      </c>
    </row>
    <row r="1070" spans="1:6" x14ac:dyDescent="0.25">
      <c r="A1070" t="s">
        <v>3056</v>
      </c>
      <c r="B1070" t="s">
        <v>3057</v>
      </c>
      <c r="C1070" t="s">
        <v>3058</v>
      </c>
      <c r="D1070">
        <v>2012</v>
      </c>
      <c r="E1070" t="s">
        <v>2804</v>
      </c>
      <c r="F1070" t="str">
        <f>HYPERLINK("https://www.szaktars.hu/harmattan/view/egy-elfeledett-intezmeny-a-kolozsvari-szentlelek-ispotaly-kora-ujkori-tortenete/", "https://www.szaktars.hu/harmattan/view/egy-elfeledett-intezmeny-a-kolozsvari-szentlelek-ispotaly-kora-ujkori-tortenete/")</f>
        <v>https://www.szaktars.hu/harmattan/view/egy-elfeledett-intezmeny-a-kolozsvari-szentlelek-ispotaly-kora-ujkori-tortenete/</v>
      </c>
    </row>
    <row r="1071" spans="1:6" x14ac:dyDescent="0.25">
      <c r="A1071" t="s">
        <v>3059</v>
      </c>
      <c r="B1071" t="s">
        <v>219</v>
      </c>
      <c r="C1071" t="s">
        <v>3060</v>
      </c>
      <c r="D1071">
        <v>2016</v>
      </c>
      <c r="E1071" t="s">
        <v>2804</v>
      </c>
      <c r="F1071" t="str">
        <f>HYPERLINK("https://www.szaktars.hu/harmattan/view/a-forradalom-visszanez-1956-2016/", "https://www.szaktars.hu/harmattan/view/a-forradalom-visszanez-1956-2016/")</f>
        <v>https://www.szaktars.hu/harmattan/view/a-forradalom-visszanez-1956-2016/</v>
      </c>
    </row>
    <row r="1072" spans="1:6" x14ac:dyDescent="0.25">
      <c r="A1072" t="s">
        <v>3061</v>
      </c>
      <c r="B1072" t="s">
        <v>3062</v>
      </c>
      <c r="C1072" t="s">
        <v>3063</v>
      </c>
      <c r="D1072">
        <v>2007</v>
      </c>
      <c r="E1072" t="s">
        <v>2804</v>
      </c>
      <c r="F1072" t="str">
        <f>HYPERLINK("https://www.szaktars.hu/harmattan/view/humanista-a-hataron-a-kesmarki-sebastian-ambrosius-tortenete-1554-1600/", "https://www.szaktars.hu/harmattan/view/humanista-a-hataron-a-kesmarki-sebastian-ambrosius-tortenete-1554-1600/")</f>
        <v>https://www.szaktars.hu/harmattan/view/humanista-a-hataron-a-kesmarki-sebastian-ambrosius-tortenete-1554-1600/</v>
      </c>
    </row>
    <row r="1073" spans="1:6" x14ac:dyDescent="0.25">
      <c r="A1073" t="s">
        <v>3064</v>
      </c>
      <c r="B1073" t="s">
        <v>3065</v>
      </c>
      <c r="C1073" t="s">
        <v>3066</v>
      </c>
      <c r="D1073">
        <v>2013</v>
      </c>
      <c r="E1073" t="s">
        <v>2804</v>
      </c>
      <c r="F1073" t="str">
        <f>HYPERLINK("https://www.szaktars.hu/harmattan/view/titkos-tortenetek-valogatas-a-betekinto-folyoirat-elso-ot-evfolyamabol/", "https://www.szaktars.hu/harmattan/view/titkos-tortenetek-valogatas-a-betekinto-folyoirat-elso-ot-evfolyamabol/")</f>
        <v>https://www.szaktars.hu/harmattan/view/titkos-tortenetek-valogatas-a-betekinto-folyoirat-elso-ot-evfolyamabol/</v>
      </c>
    </row>
    <row r="1074" spans="1:6" x14ac:dyDescent="0.25">
      <c r="A1074" t="s">
        <v>3067</v>
      </c>
      <c r="B1074" t="s">
        <v>3068</v>
      </c>
      <c r="C1074" t="s">
        <v>3069</v>
      </c>
      <c r="D1074">
        <v>2006</v>
      </c>
      <c r="E1074" t="s">
        <v>2804</v>
      </c>
      <c r="F1074" t="str">
        <f>HYPERLINK("https://www.szaktars.hu/harmattan/view/hagyomany-es-atalakulas-allam-es-burokracia-a-dualista-habsburg-monarchiaban/", "https://www.szaktars.hu/harmattan/view/hagyomany-es-atalakulas-allam-es-burokracia-a-dualista-habsburg-monarchiaban/")</f>
        <v>https://www.szaktars.hu/harmattan/view/hagyomany-es-atalakulas-allam-es-burokracia-a-dualista-habsburg-monarchiaban/</v>
      </c>
    </row>
    <row r="1075" spans="1:6" x14ac:dyDescent="0.25">
      <c r="A1075" t="s">
        <v>3070</v>
      </c>
      <c r="B1075" t="s">
        <v>3071</v>
      </c>
      <c r="C1075" t="s">
        <v>3072</v>
      </c>
      <c r="D1075">
        <v>2008</v>
      </c>
      <c r="E1075" t="s">
        <v>2804</v>
      </c>
      <c r="F1075" t="str">
        <f>HYPERLINK("https://www.szaktars.hu/harmattan/view/kamarak-a-ket-vilaghaboru-kozotti-magyarorszagon/", "https://www.szaktars.hu/harmattan/view/kamarak-a-ket-vilaghaboru-kozotti-magyarorszagon/")</f>
        <v>https://www.szaktars.hu/harmattan/view/kamarak-a-ket-vilaghaboru-kozotti-magyarorszagon/</v>
      </c>
    </row>
    <row r="1076" spans="1:6" x14ac:dyDescent="0.25">
      <c r="A1076" t="s">
        <v>3073</v>
      </c>
      <c r="B1076" t="s">
        <v>3074</v>
      </c>
      <c r="C1076" t="s">
        <v>3075</v>
      </c>
      <c r="D1076">
        <v>2008</v>
      </c>
      <c r="E1076" t="s">
        <v>2804</v>
      </c>
      <c r="F1076" t="str">
        <f>HYPERLINK("https://www.szaktars.hu/harmattan/view/jelkep-ritus-udvari-kultura-reprezentacio-es-politikai-tekintely-a-kora-ujkori-magyarorszagon/", "https://www.szaktars.hu/harmattan/view/jelkep-ritus-udvari-kultura-reprezentacio-es-politikai-tekintely-a-kora-ujkori-magyarorszagon/")</f>
        <v>https://www.szaktars.hu/harmattan/view/jelkep-ritus-udvari-kultura-reprezentacio-es-politikai-tekintely-a-kora-ujkori-magyarorszagon/</v>
      </c>
    </row>
    <row r="1077" spans="1:6" x14ac:dyDescent="0.25">
      <c r="A1077" t="s">
        <v>3076</v>
      </c>
      <c r="B1077" t="s">
        <v>3077</v>
      </c>
      <c r="C1077" t="s">
        <v>3078</v>
      </c>
      <c r="D1077">
        <v>2015</v>
      </c>
      <c r="E1077" t="s">
        <v>2804</v>
      </c>
      <c r="F1077" t="str">
        <f>HYPERLINK("https://www.szaktars.hu/harmattan/view/egy-ezred-ev-viharaiban-meg-nem-rendult-torhetetlen-huseg-szekesfehervar-magyarorszag-es-a-nagy-haboru/", "https://www.szaktars.hu/harmattan/view/egy-ezred-ev-viharaiban-meg-nem-rendult-torhetetlen-huseg-szekesfehervar-magyarorszag-es-a-nagy-haboru/")</f>
        <v>https://www.szaktars.hu/harmattan/view/egy-ezred-ev-viharaiban-meg-nem-rendult-torhetetlen-huseg-szekesfehervar-magyarorszag-es-a-nagy-haboru/</v>
      </c>
    </row>
    <row r="1078" spans="1:6" x14ac:dyDescent="0.25">
      <c r="A1078" t="s">
        <v>3079</v>
      </c>
      <c r="B1078" t="s">
        <v>3080</v>
      </c>
      <c r="C1078" t="s">
        <v>3081</v>
      </c>
      <c r="D1078">
        <v>2013</v>
      </c>
      <c r="E1078" t="s">
        <v>2804</v>
      </c>
      <c r="F1078" t="str">
        <f>HYPERLINK("https://www.szaktars.hu/harmattan/view/besugok-a-besugasrol-ugynok-visszaemlekezesek-a-kadar-korszakbol/", "https://www.szaktars.hu/harmattan/view/besugok-a-besugasrol-ugynok-visszaemlekezesek-a-kadar-korszakbol/")</f>
        <v>https://www.szaktars.hu/harmattan/view/besugok-a-besugasrol-ugynok-visszaemlekezesek-a-kadar-korszakbol/</v>
      </c>
    </row>
    <row r="1079" spans="1:6" x14ac:dyDescent="0.25">
      <c r="A1079" t="s">
        <v>3082</v>
      </c>
      <c r="B1079" t="s">
        <v>3080</v>
      </c>
      <c r="C1079" t="s">
        <v>3083</v>
      </c>
      <c r="D1079">
        <v>2008</v>
      </c>
      <c r="E1079" t="s">
        <v>2804</v>
      </c>
      <c r="F1079" t="str">
        <f>HYPERLINK("https://www.szaktars.hu/harmattan/view/donteshozok-varosi-elit-es-varosi-onkormanyzat-nyiregyhazan-a-20-szazad-elso-feleben/", "https://www.szaktars.hu/harmattan/view/donteshozok-varosi-elit-es-varosi-onkormanyzat-nyiregyhazan-a-20-szazad-elso-feleben/")</f>
        <v>https://www.szaktars.hu/harmattan/view/donteshozok-varosi-elit-es-varosi-onkormanyzat-nyiregyhazan-a-20-szazad-elso-feleben/</v>
      </c>
    </row>
    <row r="1080" spans="1:6" x14ac:dyDescent="0.25">
      <c r="A1080" t="s">
        <v>3084</v>
      </c>
      <c r="B1080" t="s">
        <v>3085</v>
      </c>
      <c r="C1080" t="s">
        <v>3086</v>
      </c>
      <c r="D1080">
        <v>2007</v>
      </c>
      <c r="E1080" t="s">
        <v>2804</v>
      </c>
      <c r="F1080" t="str">
        <f>HYPERLINK("https://www.szaktars.hu/harmattan/view/az-osztrak-magyar-monarchia-lengyelpolitikaja-1867-1914/", "https://www.szaktars.hu/harmattan/view/az-osztrak-magyar-monarchia-lengyelpolitikaja-1867-1914/")</f>
        <v>https://www.szaktars.hu/harmattan/view/az-osztrak-magyar-monarchia-lengyelpolitikaja-1867-1914/</v>
      </c>
    </row>
    <row r="1081" spans="1:6" x14ac:dyDescent="0.25">
      <c r="A1081" t="s">
        <v>3087</v>
      </c>
      <c r="B1081" t="s">
        <v>3088</v>
      </c>
      <c r="C1081" t="s">
        <v>3089</v>
      </c>
      <c r="D1081">
        <v>2009</v>
      </c>
      <c r="E1081" t="s">
        <v>2804</v>
      </c>
      <c r="F1081" t="str">
        <f>HYPERLINK("https://www.szaktars.hu/harmattan/view/irasok-az-arpad-korrol-torteneti-es-historiografiai-tanulmanyok/", "https://www.szaktars.hu/harmattan/view/irasok-az-arpad-korrol-torteneti-es-historiografiai-tanulmanyok/")</f>
        <v>https://www.szaktars.hu/harmattan/view/irasok-az-arpad-korrol-torteneti-es-historiografiai-tanulmanyok/</v>
      </c>
    </row>
    <row r="1082" spans="1:6" x14ac:dyDescent="0.25">
      <c r="A1082" t="s">
        <v>3090</v>
      </c>
      <c r="B1082" t="s">
        <v>3088</v>
      </c>
      <c r="C1082" t="s">
        <v>3091</v>
      </c>
      <c r="D1082">
        <v>2016</v>
      </c>
      <c r="E1082" t="s">
        <v>2804</v>
      </c>
      <c r="F1082" t="str">
        <f>HYPERLINK("https://www.szaktars.hu/harmattan/view/ismeretlen-arpadkor-puspokok-legendak-kronikak/", "https://www.szaktars.hu/harmattan/view/ismeretlen-arpadkor-puspokok-legendak-kronikak/")</f>
        <v>https://www.szaktars.hu/harmattan/view/ismeretlen-arpadkor-puspokok-legendak-kronikak/</v>
      </c>
    </row>
    <row r="1083" spans="1:6" x14ac:dyDescent="0.25">
      <c r="A1083" t="s">
        <v>3092</v>
      </c>
      <c r="B1083" t="s">
        <v>3093</v>
      </c>
      <c r="C1083" t="s">
        <v>3094</v>
      </c>
      <c r="D1083">
        <v>2005</v>
      </c>
      <c r="E1083" t="s">
        <v>2804</v>
      </c>
      <c r="F1083" t="str">
        <f>HYPERLINK("https://www.szaktars.hu/harmattan/view/onszervezo-polgarok-a-pesti-egyesuletek-tarsadalomtortenete-a-reformkorban/", "https://www.szaktars.hu/harmattan/view/onszervezo-polgarok-a-pesti-egyesuletek-tarsadalomtortenete-a-reformkorban/")</f>
        <v>https://www.szaktars.hu/harmattan/view/onszervezo-polgarok-a-pesti-egyesuletek-tarsadalomtortenete-a-reformkorban/</v>
      </c>
    </row>
    <row r="1084" spans="1:6" x14ac:dyDescent="0.25">
      <c r="A1084" t="s">
        <v>3095</v>
      </c>
      <c r="B1084" t="s">
        <v>3096</v>
      </c>
      <c r="C1084" t="s">
        <v>3097</v>
      </c>
      <c r="D1084">
        <v>2012</v>
      </c>
      <c r="E1084" t="s">
        <v>2804</v>
      </c>
      <c r="F1084" t="str">
        <f>HYPERLINK("https://www.szaktars.hu/harmattan/view/tortenelmi-latkepek-erdelyi-regeszeti-lelohelyek-es-muemlekek-legi-felvetelei/", "https://www.szaktars.hu/harmattan/view/tortenelmi-latkepek-erdelyi-regeszeti-lelohelyek-es-muemlekek-legi-felvetelei/")</f>
        <v>https://www.szaktars.hu/harmattan/view/tortenelmi-latkepek-erdelyi-regeszeti-lelohelyek-es-muemlekek-legi-felvetelei/</v>
      </c>
    </row>
    <row r="1085" spans="1:6" x14ac:dyDescent="0.25">
      <c r="A1085" t="s">
        <v>3098</v>
      </c>
      <c r="B1085" t="s">
        <v>3099</v>
      </c>
      <c r="C1085" t="s">
        <v>3100</v>
      </c>
      <c r="D1085">
        <v>2013</v>
      </c>
      <c r="E1085" t="s">
        <v>2804</v>
      </c>
      <c r="F1085" t="str">
        <f>HYPERLINK("https://www.szaktars.hu/harmattan/view/illuzio-hogy-ismerjuk-egymast-svajci-magyar-kapcsolatok-1944-45-es-1956-kozott/", "https://www.szaktars.hu/harmattan/view/illuzio-hogy-ismerjuk-egymast-svajci-magyar-kapcsolatok-1944-45-es-1956-kozott/")</f>
        <v>https://www.szaktars.hu/harmattan/view/illuzio-hogy-ismerjuk-egymast-svajci-magyar-kapcsolatok-1944-45-es-1956-kozott/</v>
      </c>
    </row>
    <row r="1086" spans="1:6" x14ac:dyDescent="0.25">
      <c r="A1086" t="s">
        <v>3101</v>
      </c>
      <c r="B1086" t="s">
        <v>3102</v>
      </c>
      <c r="C1086" t="s">
        <v>3103</v>
      </c>
      <c r="D1086">
        <v>2007</v>
      </c>
      <c r="E1086" t="s">
        <v>2804</v>
      </c>
      <c r="F1086" t="str">
        <f>HYPERLINK("https://www.szaktars.hu/harmattan/view/onallosag-es-kiszolgaltatottsag-a-sarospataki-reformatus-kollegium-mukodese-1793-1830/", "https://www.szaktars.hu/harmattan/view/onallosag-es-kiszolgaltatottsag-a-sarospataki-reformatus-kollegium-mukodese-1793-1830/")</f>
        <v>https://www.szaktars.hu/harmattan/view/onallosag-es-kiszolgaltatottsag-a-sarospataki-reformatus-kollegium-mukodese-1793-1830/</v>
      </c>
    </row>
    <row r="1087" spans="1:6" x14ac:dyDescent="0.25">
      <c r="A1087" t="s">
        <v>3104</v>
      </c>
      <c r="B1087" t="s">
        <v>3105</v>
      </c>
      <c r="C1087" t="s">
        <v>3106</v>
      </c>
      <c r="D1087">
        <v>2007</v>
      </c>
      <c r="E1087" t="s">
        <v>2804</v>
      </c>
      <c r="F1087" t="str">
        <f>HYPERLINK("https://www.szaktars.hu/harmattan/view/radios-tortenelem/", "https://www.szaktars.hu/harmattan/view/radios-tortenelem/")</f>
        <v>https://www.szaktars.hu/harmattan/view/radios-tortenelem/</v>
      </c>
    </row>
    <row r="1088" spans="1:6" x14ac:dyDescent="0.25">
      <c r="A1088" t="s">
        <v>3107</v>
      </c>
      <c r="B1088" t="s">
        <v>3108</v>
      </c>
      <c r="C1088" t="s">
        <v>3109</v>
      </c>
      <c r="D1088">
        <v>2011</v>
      </c>
      <c r="E1088" t="s">
        <v>2804</v>
      </c>
      <c r="F1088" t="str">
        <f>HYPERLINK("https://www.szaktars.hu/harmattan/view/tevuton-ugynokok-az-otvenhatos-diakmozgalomban-nyugaton/", "https://www.szaktars.hu/harmattan/view/tevuton-ugynokok-az-otvenhatos-diakmozgalomban-nyugaton/")</f>
        <v>https://www.szaktars.hu/harmattan/view/tevuton-ugynokok-az-otvenhatos-diakmozgalomban-nyugaton/</v>
      </c>
    </row>
    <row r="1089" spans="1:6" x14ac:dyDescent="0.25">
      <c r="A1089" t="s">
        <v>3110</v>
      </c>
      <c r="B1089" t="s">
        <v>3111</v>
      </c>
      <c r="C1089" t="s">
        <v>3112</v>
      </c>
      <c r="D1089">
        <v>2007</v>
      </c>
      <c r="E1089" t="s">
        <v>2804</v>
      </c>
      <c r="F1089" t="str">
        <f>HYPERLINK("https://www.szaktars.hu/harmattan/view/zsidosors-kiskunhalason-kisvarosi-ut-a-holokauszthoz/", "https://www.szaktars.hu/harmattan/view/zsidosors-kiskunhalason-kisvarosi-ut-a-holokauszthoz/")</f>
        <v>https://www.szaktars.hu/harmattan/view/zsidosors-kiskunhalason-kisvarosi-ut-a-holokauszthoz/</v>
      </c>
    </row>
    <row r="1090" spans="1:6" x14ac:dyDescent="0.25">
      <c r="A1090" t="s">
        <v>3113</v>
      </c>
      <c r="B1090" t="s">
        <v>3114</v>
      </c>
      <c r="C1090" t="s">
        <v>3115</v>
      </c>
      <c r="D1090">
        <v>2016</v>
      </c>
      <c r="E1090" t="s">
        <v>2804</v>
      </c>
      <c r="F1090" t="str">
        <f>HYPERLINK("https://www.szaktars.hu/harmattan/view/harctertol-a-hatorszagig-az-elso-vilaghaboru-gazdasagi-es-tarsadalmi-hatasai-magyarorszagon-a-leveltari-forrasok-tukreben/", "https://www.szaktars.hu/harmattan/view/harctertol-a-hatorszagig-az-elso-vilaghaboru-gazdasagi-es-tarsadalmi-hatasai-magyarorszagon-a-leveltari-forrasok-tukreben/")</f>
        <v>https://www.szaktars.hu/harmattan/view/harctertol-a-hatorszagig-az-elso-vilaghaboru-gazdasagi-es-tarsadalmi-hatasai-magyarorszagon-a-leveltari-forrasok-tukreben/</v>
      </c>
    </row>
    <row r="1091" spans="1:6" x14ac:dyDescent="0.25">
      <c r="A1091" t="s">
        <v>3116</v>
      </c>
      <c r="B1091" t="s">
        <v>3117</v>
      </c>
      <c r="C1091" t="s">
        <v>3118</v>
      </c>
      <c r="D1091">
        <v>2008</v>
      </c>
      <c r="E1091" t="s">
        <v>2804</v>
      </c>
      <c r="F1091" t="str">
        <f>HYPERLINK("https://www.szaktars.hu/harmattan/view/ellenforradalom-es-szabadsagharc-az-1848-oszi-nyilt-dinasztikus-ellenforradalmi-fordulat-politikai-katonai-hattere-szeptember-29-december-16/", "https://www.szaktars.hu/harmattan/view/ellenforradalom-es-szabadsagharc-az-1848-oszi-nyilt-dinasztikus-ellenforradalmi-fordulat-politikai-katonai-hattere-szeptember-29-december-16/")</f>
        <v>https://www.szaktars.hu/harmattan/view/ellenforradalom-es-szabadsagharc-az-1848-oszi-nyilt-dinasztikus-ellenforradalmi-fordulat-politikai-katonai-hattere-szeptember-29-december-16/</v>
      </c>
    </row>
    <row r="1092" spans="1:6" x14ac:dyDescent="0.25">
      <c r="A1092" t="s">
        <v>3119</v>
      </c>
      <c r="B1092" t="s">
        <v>3120</v>
      </c>
      <c r="C1092" t="s">
        <v>3121</v>
      </c>
      <c r="D1092">
        <v>2015</v>
      </c>
      <c r="E1092" t="s">
        <v>2804</v>
      </c>
      <c r="F1092" t="str">
        <f>HYPERLINK("https://www.szaktars.hu/harmattan/view/gazdasagi-valsagok-tarsadalmi-feszultsegek-modern-valaszkiserletek-europaban-a-ket-vilaghaboru-kozott/", "https://www.szaktars.hu/harmattan/view/gazdasagi-valsagok-tarsadalmi-feszultsegek-modern-valaszkiserletek-europaban-a-ket-vilaghaboru-kozott/")</f>
        <v>https://www.szaktars.hu/harmattan/view/gazdasagi-valsagok-tarsadalmi-feszultsegek-modern-valaszkiserletek-europaban-a-ket-vilaghaboru-kozott/</v>
      </c>
    </row>
    <row r="1093" spans="1:6" x14ac:dyDescent="0.25">
      <c r="A1093" t="s">
        <v>3122</v>
      </c>
      <c r="B1093" t="s">
        <v>3123</v>
      </c>
      <c r="C1093" t="s">
        <v>3124</v>
      </c>
      <c r="D1093">
        <v>2008</v>
      </c>
      <c r="E1093" t="s">
        <v>2804</v>
      </c>
      <c r="F1093" t="str">
        <f>HYPERLINK("https://www.szaktars.hu/harmattan/view/visszaemlekezesek-1941-1943/", "https://www.szaktars.hu/harmattan/view/visszaemlekezesek-1941-1943/")</f>
        <v>https://www.szaktars.hu/harmattan/view/visszaemlekezesek-1941-1943/</v>
      </c>
    </row>
    <row r="1094" spans="1:6" x14ac:dyDescent="0.25">
      <c r="A1094" t="s">
        <v>3125</v>
      </c>
      <c r="B1094" t="s">
        <v>3126</v>
      </c>
      <c r="C1094" t="s">
        <v>3127</v>
      </c>
      <c r="D1094">
        <v>2007</v>
      </c>
      <c r="E1094" t="s">
        <v>2804</v>
      </c>
      <c r="F1094" t="str">
        <f>HYPERLINK("https://www.szaktars.hu/harmattan/view/a-konnyezo-krokodil-jagello-anna-es-bathory-istvan-hazassaga/", "https://www.szaktars.hu/harmattan/view/a-konnyezo-krokodil-jagello-anna-es-bathory-istvan-hazassaga/")</f>
        <v>https://www.szaktars.hu/harmattan/view/a-konnyezo-krokodil-jagello-anna-es-bathory-istvan-hazassaga/</v>
      </c>
    </row>
    <row r="1095" spans="1:6" x14ac:dyDescent="0.25">
      <c r="A1095" t="s">
        <v>3128</v>
      </c>
      <c r="B1095" t="s">
        <v>3129</v>
      </c>
      <c r="C1095" t="s">
        <v>3130</v>
      </c>
      <c r="D1095">
        <v>2009</v>
      </c>
      <c r="E1095" t="s">
        <v>2804</v>
      </c>
      <c r="F1095" t="str">
        <f>HYPERLINK("https://www.szaktars.hu/harmattan/view/szerencsenek-elegyes-forgasa-ii-rakoczi-gyorgy-es-kora/", "https://www.szaktars.hu/harmattan/view/szerencsenek-elegyes-forgasa-ii-rakoczi-gyorgy-es-kora/")</f>
        <v>https://www.szaktars.hu/harmattan/view/szerencsenek-elegyes-forgasa-ii-rakoczi-gyorgy-es-kora/</v>
      </c>
    </row>
    <row r="1096" spans="1:6" x14ac:dyDescent="0.25">
      <c r="A1096" t="s">
        <v>3131</v>
      </c>
      <c r="B1096" t="s">
        <v>2853</v>
      </c>
      <c r="C1096" t="s">
        <v>3132</v>
      </c>
      <c r="D1096">
        <v>2012</v>
      </c>
      <c r="E1096" t="s">
        <v>2804</v>
      </c>
      <c r="F1096" t="str">
        <f>HYPERLINK("https://www.szaktars.hu/harmattan/view/koreaiak-magyarorszagon-az-1950-es-evekben/", "https://www.szaktars.hu/harmattan/view/koreaiak-magyarorszagon-az-1950-es-evekben/")</f>
        <v>https://www.szaktars.hu/harmattan/view/koreaiak-magyarorszagon-az-1950-es-evekben/</v>
      </c>
    </row>
    <row r="1097" spans="1:6" x14ac:dyDescent="0.25">
      <c r="A1097" t="s">
        <v>3133</v>
      </c>
      <c r="B1097" t="s">
        <v>3134</v>
      </c>
      <c r="C1097" t="s">
        <v>3135</v>
      </c>
      <c r="D1097">
        <v>2009</v>
      </c>
      <c r="E1097" t="s">
        <v>2804</v>
      </c>
      <c r="F1097" t="str">
        <f>HYPERLINK("https://www.szaktars.hu/harmattan/view/lehetetlen-kuldetes-jezsuitak-erdelyben-es-felso-magyarorszagon-a-16-17-szazadban/", "https://www.szaktars.hu/harmattan/view/lehetetlen-kuldetes-jezsuitak-erdelyben-es-felso-magyarorszagon-a-16-17-szazadban/")</f>
        <v>https://www.szaktars.hu/harmattan/view/lehetetlen-kuldetes-jezsuitak-erdelyben-es-felso-magyarorszagon-a-16-17-szazadban/</v>
      </c>
    </row>
    <row r="1098" spans="1:6" x14ac:dyDescent="0.25">
      <c r="A1098" t="s">
        <v>3136</v>
      </c>
      <c r="B1098" t="s">
        <v>3137</v>
      </c>
      <c r="C1098" t="s">
        <v>3138</v>
      </c>
      <c r="D1098">
        <v>2014</v>
      </c>
      <c r="E1098" t="s">
        <v>2804</v>
      </c>
      <c r="F1098" t="str">
        <f>HYPERLINK("https://www.szaktars.hu/harmattan/view/unikornisok-tunderorszagban-a-ruszkai-kornisok-erdelyben-1546-k-1648/", "https://www.szaktars.hu/harmattan/view/unikornisok-tunderorszagban-a-ruszkai-kornisok-erdelyben-1546-k-1648/")</f>
        <v>https://www.szaktars.hu/harmattan/view/unikornisok-tunderorszagban-a-ruszkai-kornisok-erdelyben-1546-k-1648/</v>
      </c>
    </row>
    <row r="1099" spans="1:6" x14ac:dyDescent="0.25">
      <c r="A1099" t="s">
        <v>3139</v>
      </c>
      <c r="B1099" t="s">
        <v>3140</v>
      </c>
      <c r="C1099" t="s">
        <v>3141</v>
      </c>
      <c r="D1099">
        <v>2012</v>
      </c>
      <c r="E1099" t="s">
        <v>3142</v>
      </c>
      <c r="F1099" t="str">
        <f>HYPERLINK("https://www.szaktars.hu/harmattan/view/rescued-epics-three-heroic-epics-from-the-repertoire-of-the-bayit-bard-uwxin-bat/", "https://www.szaktars.hu/harmattan/view/rescued-epics-three-heroic-epics-from-the-repertoire-of-the-bayit-bard-uwxin-bat/")</f>
        <v>https://www.szaktars.hu/harmattan/view/rescued-epics-three-heroic-epics-from-the-repertoire-of-the-bayit-bard-uwxin-bat/</v>
      </c>
    </row>
    <row r="1100" spans="1:6" x14ac:dyDescent="0.25">
      <c r="A1100" t="s">
        <v>3143</v>
      </c>
      <c r="B1100" t="s">
        <v>3144</v>
      </c>
      <c r="C1100" t="s">
        <v>3145</v>
      </c>
      <c r="D1100">
        <v>2017</v>
      </c>
      <c r="E1100" t="s">
        <v>3142</v>
      </c>
      <c r="F1100" t="str">
        <f>HYPERLINK("https://www.szaktars.hu/harmattan/view/reneszansz-es-humanizmus/", "https://www.szaktars.hu/harmattan/view/reneszansz-es-humanizmus/")</f>
        <v>https://www.szaktars.hu/harmattan/view/reneszansz-es-humanizmus/</v>
      </c>
    </row>
    <row r="1101" spans="1:6" x14ac:dyDescent="0.25">
      <c r="A1101" t="s">
        <v>3146</v>
      </c>
      <c r="B1101" t="s">
        <v>3147</v>
      </c>
      <c r="C1101" t="s">
        <v>3148</v>
      </c>
      <c r="D1101">
        <v>2003</v>
      </c>
      <c r="E1101" t="s">
        <v>3142</v>
      </c>
      <c r="F1101" t="str">
        <f>HYPERLINK("https://www.szaktars.hu/harmattan/view/artatlanul-halalra-iteltek-az-amerikai-igazsagszolgaltatas-tevedesei/", "https://www.szaktars.hu/harmattan/view/artatlanul-halalra-iteltek-az-amerikai-igazsagszolgaltatas-tevedesei/")</f>
        <v>https://www.szaktars.hu/harmattan/view/artatlanul-halalra-iteltek-az-amerikai-igazsagszolgaltatas-tevedesei/</v>
      </c>
    </row>
    <row r="1102" spans="1:6" x14ac:dyDescent="0.25">
      <c r="A1102" t="s">
        <v>3149</v>
      </c>
      <c r="B1102" t="s">
        <v>3150</v>
      </c>
      <c r="C1102" t="s">
        <v>3151</v>
      </c>
      <c r="D1102">
        <v>2006</v>
      </c>
      <c r="E1102" t="s">
        <v>3142</v>
      </c>
      <c r="F1102" t="str">
        <f>HYPERLINK("https://www.szaktars.hu/harmattan/view/elkepzelt-kozossegek-gondolatok-a-nacionalizmus-eredeterol-es-elterjedeserol/", "https://www.szaktars.hu/harmattan/view/elkepzelt-kozossegek-gondolatok-a-nacionalizmus-eredeterol-es-elterjedeserol/")</f>
        <v>https://www.szaktars.hu/harmattan/view/elkepzelt-kozossegek-gondolatok-a-nacionalizmus-eredeterol-es-elterjedeserol/</v>
      </c>
    </row>
    <row r="1103" spans="1:6" x14ac:dyDescent="0.25">
      <c r="A1103" t="s">
        <v>3152</v>
      </c>
      <c r="B1103" t="s">
        <v>3153</v>
      </c>
      <c r="C1103" t="s">
        <v>3154</v>
      </c>
      <c r="D1103">
        <v>2006</v>
      </c>
      <c r="E1103" t="s">
        <v>3142</v>
      </c>
      <c r="F1103" t="str">
        <f>HYPERLINK("https://www.szaktars.hu/harmattan/view/1914-1918-az-ujrairt-haboru/", "https://www.szaktars.hu/harmattan/view/1914-1918-az-ujrairt-haboru/")</f>
        <v>https://www.szaktars.hu/harmattan/view/1914-1918-az-ujrairt-haboru/</v>
      </c>
    </row>
    <row r="1104" spans="1:6" x14ac:dyDescent="0.25">
      <c r="A1104" t="s">
        <v>3155</v>
      </c>
      <c r="B1104" t="s">
        <v>3156</v>
      </c>
      <c r="C1104" t="s">
        <v>3157</v>
      </c>
      <c r="D1104">
        <v>2013</v>
      </c>
      <c r="E1104" t="s">
        <v>3142</v>
      </c>
      <c r="F1104" t="str">
        <f>HYPERLINK("https://www.szaktars.hu/harmattan/view/a-kaukazusi-georgia/", "https://www.szaktars.hu/harmattan/view/a-kaukazusi-georgia/")</f>
        <v>https://www.szaktars.hu/harmattan/view/a-kaukazusi-georgia/</v>
      </c>
    </row>
    <row r="1105" spans="1:6" x14ac:dyDescent="0.25">
      <c r="A1105" t="s">
        <v>3158</v>
      </c>
      <c r="B1105" t="s">
        <v>1639</v>
      </c>
      <c r="C1105" t="s">
        <v>3159</v>
      </c>
      <c r="D1105">
        <v>2016</v>
      </c>
      <c r="E1105" t="s">
        <v>3142</v>
      </c>
      <c r="F1105" t="str">
        <f>HYPERLINK("https://www.szaktars.hu/harmattan/view/belga-nemetalfold-ujkori-tortenete-1384-1830/", "https://www.szaktars.hu/harmattan/view/belga-nemetalfold-ujkori-tortenete-1384-1830/")</f>
        <v>https://www.szaktars.hu/harmattan/view/belga-nemetalfold-ujkori-tortenete-1384-1830/</v>
      </c>
    </row>
    <row r="1106" spans="1:6" x14ac:dyDescent="0.25">
      <c r="A1106" t="s">
        <v>3160</v>
      </c>
      <c r="B1106" t="s">
        <v>3161</v>
      </c>
      <c r="C1106" t="s">
        <v>3162</v>
      </c>
      <c r="D1106">
        <v>2009</v>
      </c>
      <c r="E1106" t="s">
        <v>3142</v>
      </c>
      <c r="F1106" t="str">
        <f>HYPERLINK("https://www.szaktars.hu/harmattan/view/a-munkasok-utja-a-szocializmusbol-a-kapitalizmusba-kelet-europaban-1968-1989/", "https://www.szaktars.hu/harmattan/view/a-munkasok-utja-a-szocializmusbol-a-kapitalizmusba-kelet-europaban-1968-1989/")</f>
        <v>https://www.szaktars.hu/harmattan/view/a-munkasok-utja-a-szocializmusbol-a-kapitalizmusba-kelet-europaban-1968-1989/</v>
      </c>
    </row>
    <row r="1107" spans="1:6" x14ac:dyDescent="0.25">
      <c r="A1107" t="s">
        <v>3163</v>
      </c>
      <c r="B1107" t="s">
        <v>3161</v>
      </c>
      <c r="C1107" t="s">
        <v>3164</v>
      </c>
      <c r="D1107">
        <v>2011</v>
      </c>
      <c r="E1107" t="s">
        <v>3142</v>
      </c>
      <c r="F1107" t="str">
        <f>HYPERLINK("https://www.szaktars.hu/harmattan/view/maganyos-harcosok-munkasok-a-rendszervaltas-utani-kelet-nemetorszagban-es-magyarorszagon/", "https://www.szaktars.hu/harmattan/view/maganyos-harcosok-munkasok-a-rendszervaltas-utani-kelet-nemetorszagban-es-magyarorszagon/")</f>
        <v>https://www.szaktars.hu/harmattan/view/maganyos-harcosok-munkasok-a-rendszervaltas-utani-kelet-nemetorszagban-es-magyarorszagon/</v>
      </c>
    </row>
    <row r="1108" spans="1:6" x14ac:dyDescent="0.25">
      <c r="A1108" t="s">
        <v>3165</v>
      </c>
      <c r="B1108" t="s">
        <v>3166</v>
      </c>
      <c r="C1108" t="s">
        <v>3167</v>
      </c>
      <c r="D1108">
        <v>2007</v>
      </c>
      <c r="E1108" t="s">
        <v>3142</v>
      </c>
      <c r="F1108" t="str">
        <f>HYPERLINK("https://www.szaktars.hu/harmattan/view/az-annales-a-gazdasag-tarsadalom-es-muvelodestortenet-francia-valtozata/", "https://www.szaktars.hu/harmattan/view/az-annales-a-gazdasag-tarsadalom-es-muvelodestortenet-francia-valtozata/")</f>
        <v>https://www.szaktars.hu/harmattan/view/az-annales-a-gazdasag-tarsadalom-es-muvelodestortenet-francia-valtozata/</v>
      </c>
    </row>
    <row r="1109" spans="1:6" x14ac:dyDescent="0.25">
      <c r="A1109" t="s">
        <v>3168</v>
      </c>
      <c r="B1109" t="s">
        <v>3169</v>
      </c>
      <c r="C1109" t="s">
        <v>3170</v>
      </c>
      <c r="D1109">
        <v>2008</v>
      </c>
      <c r="E1109" t="s">
        <v>3142</v>
      </c>
      <c r="F1109" t="str">
        <f>HYPERLINK("https://www.szaktars.hu/harmattan/view/gracia-mendes-hosszu-utja/", "https://www.szaktars.hu/harmattan/view/gracia-mendes-hosszu-utja/")</f>
        <v>https://www.szaktars.hu/harmattan/view/gracia-mendes-hosszu-utja/</v>
      </c>
    </row>
    <row r="1110" spans="1:6" x14ac:dyDescent="0.25">
      <c r="A1110" t="s">
        <v>3171</v>
      </c>
      <c r="B1110" t="s">
        <v>3172</v>
      </c>
      <c r="C1110" t="s">
        <v>3173</v>
      </c>
      <c r="D1110">
        <v>2010</v>
      </c>
      <c r="E1110" t="s">
        <v>3142</v>
      </c>
      <c r="F1110" t="str">
        <f>HYPERLINK("https://www.szaktars.hu/harmattan/view/vedelmezo-istensegek-es-demonok-mongoliaban-es-tibetben/", "https://www.szaktars.hu/harmattan/view/vedelmezo-istensegek-es-demonok-mongoliaban-es-tibetben/")</f>
        <v>https://www.szaktars.hu/harmattan/view/vedelmezo-istensegek-es-demonok-mongoliaban-es-tibetben/</v>
      </c>
    </row>
    <row r="1111" spans="1:6" x14ac:dyDescent="0.25">
      <c r="A1111" t="s">
        <v>3174</v>
      </c>
      <c r="B1111" t="s">
        <v>2315</v>
      </c>
      <c r="C1111" t="s">
        <v>3175</v>
      </c>
      <c r="D1111">
        <v>2004</v>
      </c>
      <c r="E1111" t="s">
        <v>3142</v>
      </c>
      <c r="F1111" t="str">
        <f>HYPERLINK("https://www.szaktars.hu/harmattan/view/europa-es-az-oszman-birodalom-a-xvi-xvii-szazadban-az-europai-egyseggondolat-politikai-eszmetortenetenek-kezdetei/", "https://www.szaktars.hu/harmattan/view/europa-es-az-oszman-birodalom-a-xvi-xvii-szazadban-az-europai-egyseggondolat-politikai-eszmetortenetenek-kezdetei/")</f>
        <v>https://www.szaktars.hu/harmattan/view/europa-es-az-oszman-birodalom-a-xvi-xvii-szazadban-az-europai-egyseggondolat-politikai-eszmetortenetenek-kezdetei/</v>
      </c>
    </row>
    <row r="1112" spans="1:6" x14ac:dyDescent="0.25">
      <c r="A1112" t="s">
        <v>3176</v>
      </c>
      <c r="B1112" t="s">
        <v>3177</v>
      </c>
      <c r="C1112" t="s">
        <v>3178</v>
      </c>
      <c r="D1112">
        <v>2010</v>
      </c>
      <c r="E1112" t="s">
        <v>3142</v>
      </c>
      <c r="F1112" t="str">
        <f>HYPERLINK("https://www.szaktars.hu/harmattan/view/az-apartheid-szuletese-a-gyarmati-onkormanyzat-visszaallitasa-del-afrikaban-1906-1907/", "https://www.szaktars.hu/harmattan/view/az-apartheid-szuletese-a-gyarmati-onkormanyzat-visszaallitasa-del-afrikaban-1906-1907/")</f>
        <v>https://www.szaktars.hu/harmattan/view/az-apartheid-szuletese-a-gyarmati-onkormanyzat-visszaallitasa-del-afrikaban-1906-1907/</v>
      </c>
    </row>
    <row r="1113" spans="1:6" x14ac:dyDescent="0.25">
      <c r="A1113" t="s">
        <v>3179</v>
      </c>
      <c r="B1113" t="s">
        <v>3180</v>
      </c>
      <c r="C1113" t="s">
        <v>3181</v>
      </c>
      <c r="D1113">
        <v>2011</v>
      </c>
      <c r="E1113" t="s">
        <v>3142</v>
      </c>
      <c r="F1113" t="str">
        <f>HYPERLINK("https://www.szaktars.hu/harmattan/view/a-reformatus-egyhaz-romaniaban-a-kommunista-rendszer-elso-feleben/", "https://www.szaktars.hu/harmattan/view/a-reformatus-egyhaz-romaniaban-a-kommunista-rendszer-elso-feleben/")</f>
        <v>https://www.szaktars.hu/harmattan/view/a-reformatus-egyhaz-romaniaban-a-kommunista-rendszer-elso-feleben/</v>
      </c>
    </row>
    <row r="1114" spans="1:6" x14ac:dyDescent="0.25">
      <c r="A1114" t="s">
        <v>3182</v>
      </c>
      <c r="B1114" t="s">
        <v>3183</v>
      </c>
      <c r="C1114" t="s">
        <v>3184</v>
      </c>
      <c r="D1114">
        <v>2016</v>
      </c>
      <c r="E1114" t="s">
        <v>3142</v>
      </c>
      <c r="F1114" t="str">
        <f>HYPERLINK("https://www.szaktars.hu/harmattan/view/karizma-politika-eroszak-a-fasiszta-vasgarda-romaniaban-1927-1941/", "https://www.szaktars.hu/harmattan/view/karizma-politika-eroszak-a-fasiszta-vasgarda-romaniaban-1927-1941/")</f>
        <v>https://www.szaktars.hu/harmattan/view/karizma-politika-eroszak-a-fasiszta-vasgarda-romaniaban-1927-1941/</v>
      </c>
    </row>
    <row r="1115" spans="1:6" x14ac:dyDescent="0.25">
      <c r="A1115" t="s">
        <v>3185</v>
      </c>
      <c r="B1115" t="s">
        <v>3186</v>
      </c>
      <c r="C1115" t="s">
        <v>3187</v>
      </c>
      <c r="D1115">
        <v>2015</v>
      </c>
      <c r="E1115" t="s">
        <v>3142</v>
      </c>
      <c r="F1115" t="str">
        <f>HYPERLINK("https://www.szaktars.hu/harmattan/view/okonomia-es-okologia-tanulmanyok-az-okori-gazdasagtortenet-es-torteneti-foldrajz-korebol-okor-tortenet-iras-3/", "https://www.szaktars.hu/harmattan/view/okonomia-es-okologia-tanulmanyok-az-okori-gazdasagtortenet-es-torteneti-foldrajz-korebol-okor-tortenet-iras-3/")</f>
        <v>https://www.szaktars.hu/harmattan/view/okonomia-es-okologia-tanulmanyok-az-okori-gazdasagtortenet-es-torteneti-foldrajz-korebol-okor-tortenet-iras-3/</v>
      </c>
    </row>
    <row r="1116" spans="1:6" x14ac:dyDescent="0.25">
      <c r="A1116" t="s">
        <v>3188</v>
      </c>
      <c r="B1116" t="s">
        <v>3189</v>
      </c>
      <c r="C1116" t="s">
        <v>3190</v>
      </c>
      <c r="D1116">
        <v>2010</v>
      </c>
      <c r="E1116" t="s">
        <v>3142</v>
      </c>
      <c r="F1116" t="str">
        <f>HYPERLINK("https://www.szaktars.hu/harmattan/view/from-elephantine-to-babylon-selected-studies-of-peter-vargyas-on-ancient-near-eastern-economy/", "https://www.szaktars.hu/harmattan/view/from-elephantine-to-babylon-selected-studies-of-peter-vargyas-on-ancient-near-eastern-economy/")</f>
        <v>https://www.szaktars.hu/harmattan/view/from-elephantine-to-babylon-selected-studies-of-peter-vargyas-on-ancient-near-eastern-economy/</v>
      </c>
    </row>
    <row r="1117" spans="1:6" x14ac:dyDescent="0.25">
      <c r="A1117" t="s">
        <v>3191</v>
      </c>
      <c r="B1117" t="s">
        <v>3186</v>
      </c>
      <c r="C1117" t="s">
        <v>3192</v>
      </c>
      <c r="D1117">
        <v>2014</v>
      </c>
      <c r="E1117" t="s">
        <v>3142</v>
      </c>
      <c r="F1117" t="str">
        <f>HYPERLINK("https://www.szaktars.hu/harmattan/view/studies-in-economic-and-social-history-of-the-ancient-near-east-in-memory-of-peter-vargyas/", "https://www.szaktars.hu/harmattan/view/studies-in-economic-and-social-history-of-the-ancient-near-east-in-memory-of-peter-vargyas/")</f>
        <v>https://www.szaktars.hu/harmattan/view/studies-in-economic-and-social-history-of-the-ancient-near-east-in-memory-of-peter-vargyas/</v>
      </c>
    </row>
    <row r="1118" spans="1:6" x14ac:dyDescent="0.25">
      <c r="A1118" t="s">
        <v>3193</v>
      </c>
      <c r="B1118" t="s">
        <v>3194</v>
      </c>
      <c r="C1118" t="s">
        <v>3195</v>
      </c>
      <c r="D1118">
        <v>2015</v>
      </c>
      <c r="E1118" t="s">
        <v>3142</v>
      </c>
      <c r="F1118" t="str">
        <f>HYPERLINK("https://www.szaktars.hu/harmattan/view/europe-egisze-alatt/", "https://www.szaktars.hu/harmattan/view/europe-egisze-alatt/")</f>
        <v>https://www.szaktars.hu/harmattan/view/europe-egisze-alatt/</v>
      </c>
    </row>
    <row r="1119" spans="1:6" x14ac:dyDescent="0.25">
      <c r="A1119" t="s">
        <v>3196</v>
      </c>
      <c r="B1119" t="s">
        <v>3197</v>
      </c>
      <c r="C1119" t="s">
        <v>3198</v>
      </c>
      <c r="D1119">
        <v>2007</v>
      </c>
      <c r="E1119" t="s">
        <v>3142</v>
      </c>
      <c r="F1119" t="str">
        <f>HYPERLINK("https://www.szaktars.hu/harmattan/view/a-tortenetiras-uj-tendenciai-a-rendszervaltas-utan-kelet-europaban/", "https://www.szaktars.hu/harmattan/view/a-tortenetiras-uj-tendenciai-a-rendszervaltas-utan-kelet-europaban/")</f>
        <v>https://www.szaktars.hu/harmattan/view/a-tortenetiras-uj-tendenciai-a-rendszervaltas-utan-kelet-europaban/</v>
      </c>
    </row>
    <row r="1120" spans="1:6" x14ac:dyDescent="0.25">
      <c r="A1120" t="s">
        <v>3199</v>
      </c>
      <c r="B1120" t="s">
        <v>2853</v>
      </c>
      <c r="C1120" t="s">
        <v>3200</v>
      </c>
      <c r="D1120">
        <v>2016</v>
      </c>
      <c r="E1120" t="s">
        <v>3142</v>
      </c>
      <c r="F1120" t="str">
        <f>HYPERLINK("https://www.szaktars.hu/harmattan/view/az-uralban-talalkozunk-korea-es-magyarorszag-1956-ban/", "https://www.szaktars.hu/harmattan/view/az-uralban-talalkozunk-korea-es-magyarorszag-1956-ban/")</f>
        <v>https://www.szaktars.hu/harmattan/view/az-uralban-talalkozunk-korea-es-magyarorszag-1956-ban/</v>
      </c>
    </row>
    <row r="1121" spans="1:6" x14ac:dyDescent="0.25">
      <c r="A1121" t="s">
        <v>3201</v>
      </c>
      <c r="B1121" t="s">
        <v>3202</v>
      </c>
      <c r="C1121" t="s">
        <v>3203</v>
      </c>
      <c r="D1121">
        <v>2009</v>
      </c>
      <c r="E1121" t="s">
        <v>3142</v>
      </c>
      <c r="F1121" t="str">
        <f>HYPERLINK("https://www.szaktars.hu/harmattan/view/aszaszin-legendak-az-iszmailitak-mitoszai/", "https://www.szaktars.hu/harmattan/view/aszaszin-legendak-az-iszmailitak-mitoszai/")</f>
        <v>https://www.szaktars.hu/harmattan/view/aszaszin-legendak-az-iszmailitak-mitoszai/</v>
      </c>
    </row>
    <row r="1122" spans="1:6" x14ac:dyDescent="0.25">
      <c r="A1122" t="s">
        <v>3204</v>
      </c>
      <c r="B1122" t="s">
        <v>3202</v>
      </c>
      <c r="C1122" t="s">
        <v>3205</v>
      </c>
      <c r="D1122">
        <v>2006</v>
      </c>
      <c r="E1122" t="s">
        <v>3142</v>
      </c>
      <c r="F1122" t="str">
        <f>HYPERLINK("https://www.szaktars.hu/harmattan/view/az-iszmailitak-rovid-tortenete-egy-muszlim-kozosseg-hagyomanyai/", "https://www.szaktars.hu/harmattan/view/az-iszmailitak-rovid-tortenete-egy-muszlim-kozosseg-hagyomanyai/")</f>
        <v>https://www.szaktars.hu/harmattan/view/az-iszmailitak-rovid-tortenete-egy-muszlim-kozosseg-hagyomanyai/</v>
      </c>
    </row>
    <row r="1123" spans="1:6" x14ac:dyDescent="0.25">
      <c r="A1123" t="s">
        <v>3206</v>
      </c>
      <c r="B1123" t="s">
        <v>3207</v>
      </c>
      <c r="C1123" t="s">
        <v>3208</v>
      </c>
      <c r="D1123">
        <v>2013</v>
      </c>
      <c r="E1123" t="s">
        <v>3142</v>
      </c>
      <c r="F1123" t="str">
        <f>HYPERLINK("https://www.szaktars.hu/harmattan/view/competing-eyes-visual-encounters-with-alterity-in-central-an-eastern-europe/", "https://www.szaktars.hu/harmattan/view/competing-eyes-visual-encounters-with-alterity-in-central-an-eastern-europe/")</f>
        <v>https://www.szaktars.hu/harmattan/view/competing-eyes-visual-encounters-with-alterity-in-central-an-eastern-europe/</v>
      </c>
    </row>
    <row r="1124" spans="1:6" x14ac:dyDescent="0.25">
      <c r="A1124" t="s">
        <v>3209</v>
      </c>
      <c r="B1124" t="s">
        <v>3207</v>
      </c>
      <c r="C1124" t="s">
        <v>3210</v>
      </c>
      <c r="D1124">
        <v>2015</v>
      </c>
      <c r="E1124" t="s">
        <v>3142</v>
      </c>
      <c r="F1124" t="str">
        <f>HYPERLINK("https://www.szaktars.hu/harmattan/view/war-matters-constucting-images-of-the-other-1930s-to-1950s/", "https://www.szaktars.hu/harmattan/view/war-matters-constucting-images-of-the-other-1930s-to-1950s/")</f>
        <v>https://www.szaktars.hu/harmattan/view/war-matters-constucting-images-of-the-other-1930s-to-1950s/</v>
      </c>
    </row>
    <row r="1125" spans="1:6" x14ac:dyDescent="0.25">
      <c r="A1125" t="s">
        <v>3211</v>
      </c>
      <c r="B1125" t="s">
        <v>3212</v>
      </c>
      <c r="C1125" t="s">
        <v>3213</v>
      </c>
      <c r="D1125">
        <v>2012</v>
      </c>
      <c r="E1125" t="s">
        <v>3142</v>
      </c>
      <c r="F1125" t="str">
        <f>HYPERLINK("https://www.szaktars.hu/harmattan/view/a-langobardok-tortenete/", "https://www.szaktars.hu/harmattan/view/a-langobardok-tortenete/")</f>
        <v>https://www.szaktars.hu/harmattan/view/a-langobardok-tortenete/</v>
      </c>
    </row>
    <row r="1126" spans="1:6" x14ac:dyDescent="0.25">
      <c r="A1126" t="s">
        <v>3214</v>
      </c>
      <c r="B1126" t="s">
        <v>3215</v>
      </c>
      <c r="C1126" t="s">
        <v>3216</v>
      </c>
      <c r="D1126">
        <v>2015</v>
      </c>
      <c r="E1126" t="s">
        <v>3142</v>
      </c>
      <c r="F1126" t="str">
        <f>HYPERLINK("https://www.szaktars.hu/harmattan/view/kortars-japanologia-i/", "https://www.szaktars.hu/harmattan/view/kortars-japanologia-i/")</f>
        <v>https://www.szaktars.hu/harmattan/view/kortars-japanologia-i/</v>
      </c>
    </row>
    <row r="1127" spans="1:6" x14ac:dyDescent="0.25">
      <c r="A1127" t="s">
        <v>3217</v>
      </c>
      <c r="B1127" t="s">
        <v>3218</v>
      </c>
      <c r="C1127" t="s">
        <v>3219</v>
      </c>
      <c r="D1127">
        <v>2012</v>
      </c>
      <c r="E1127" t="s">
        <v>3142</v>
      </c>
      <c r="F1127" t="str">
        <f>HYPERLINK("https://www.szaktars.hu/harmattan/view/lelektani-haboru-a-donnal-a-fasiszta-propaganda-mitoszai-1942-1943/", "https://www.szaktars.hu/harmattan/view/lelektani-haboru-a-donnal-a-fasiszta-propaganda-mitoszai-1942-1943/")</f>
        <v>https://www.szaktars.hu/harmattan/view/lelektani-haboru-a-donnal-a-fasiszta-propaganda-mitoszai-1942-1943/</v>
      </c>
    </row>
    <row r="1128" spans="1:6" x14ac:dyDescent="0.25">
      <c r="A1128" t="s">
        <v>3220</v>
      </c>
      <c r="B1128" t="s">
        <v>3221</v>
      </c>
      <c r="C1128" t="s">
        <v>3222</v>
      </c>
      <c r="D1128">
        <v>2015</v>
      </c>
      <c r="E1128" t="s">
        <v>3142</v>
      </c>
      <c r="F1128" t="str">
        <f>HYPERLINK("https://www.szaktars.hu/harmattan/view/leleplezett-tortenelem-39-historia-a-huszadik-szazadbol/", "https://www.szaktars.hu/harmattan/view/leleplezett-tortenelem-39-historia-a-huszadik-szazadbol/")</f>
        <v>https://www.szaktars.hu/harmattan/view/leleplezett-tortenelem-39-historia-a-huszadik-szazadbol/</v>
      </c>
    </row>
    <row r="1129" spans="1:6" x14ac:dyDescent="0.25">
      <c r="A1129" t="s">
        <v>3223</v>
      </c>
      <c r="B1129" t="s">
        <v>3224</v>
      </c>
      <c r="C1129" t="s">
        <v>3225</v>
      </c>
      <c r="D1129">
        <v>2016</v>
      </c>
      <c r="E1129" t="s">
        <v>3142</v>
      </c>
      <c r="F1129" t="str">
        <f>HYPERLINK("https://www.szaktars.hu/harmattan/view/oexcellenciaja-kivansagara-szinhaz-kultura-es-politika-a-fasizmus-olaszorszagaban/", "https://www.szaktars.hu/harmattan/view/oexcellenciaja-kivansagara-szinhaz-kultura-es-politika-a-fasizmus-olaszorszagaban/")</f>
        <v>https://www.szaktars.hu/harmattan/view/oexcellenciaja-kivansagara-szinhaz-kultura-es-politika-a-fasizmus-olaszorszagaban/</v>
      </c>
    </row>
    <row r="1130" spans="1:6" x14ac:dyDescent="0.25">
      <c r="A1130" t="s">
        <v>3226</v>
      </c>
      <c r="B1130" t="s">
        <v>3227</v>
      </c>
      <c r="C1130" t="s">
        <v>3228</v>
      </c>
      <c r="D1130">
        <v>2016</v>
      </c>
      <c r="E1130" t="s">
        <v>3142</v>
      </c>
      <c r="F1130" t="str">
        <f>HYPERLINK("https://www.szaktars.hu/harmattan/view/a-szel-fuj-ahova-akar-bolcseszettudomanyi-dolgozatok/", "https://www.szaktars.hu/harmattan/view/a-szel-fuj-ahova-akar-bolcseszettudomanyi-dolgozatok/")</f>
        <v>https://www.szaktars.hu/harmattan/view/a-szel-fuj-ahova-akar-bolcseszettudomanyi-dolgozatok/</v>
      </c>
    </row>
    <row r="1131" spans="1:6" x14ac:dyDescent="0.25">
      <c r="A1131" t="s">
        <v>3229</v>
      </c>
      <c r="B1131" t="s">
        <v>3230</v>
      </c>
      <c r="C1131" t="s">
        <v>3231</v>
      </c>
      <c r="D1131">
        <v>2007</v>
      </c>
      <c r="E1131" t="s">
        <v>3142</v>
      </c>
      <c r="F1131" t="str">
        <f>HYPERLINK("https://www.szaktars.hu/harmattan/view/hatalom-legitimacio-ideologia-torteneti-tanulmanyok/", "https://www.szaktars.hu/harmattan/view/hatalom-legitimacio-ideologia-torteneti-tanulmanyok/")</f>
        <v>https://www.szaktars.hu/harmattan/view/hatalom-legitimacio-ideologia-torteneti-tanulmanyok/</v>
      </c>
    </row>
    <row r="1132" spans="1:6" x14ac:dyDescent="0.25">
      <c r="A1132" t="s">
        <v>3232</v>
      </c>
      <c r="B1132" t="s">
        <v>3233</v>
      </c>
      <c r="C1132" t="s">
        <v>3234</v>
      </c>
      <c r="D1132">
        <v>2015</v>
      </c>
      <c r="E1132" t="s">
        <v>3142</v>
      </c>
      <c r="F1132" t="str">
        <f>HYPERLINK("https://www.szaktars.hu/harmattan/view/panea-pruncilor-the-infants-bread-a-post-tridentine-catechism-from-the-beginnings-of-habsburg-transylvania/", "https://www.szaktars.hu/harmattan/view/panea-pruncilor-the-infants-bread-a-post-tridentine-catechism-from-the-beginnings-of-habsburg-transylvania/")</f>
        <v>https://www.szaktars.hu/harmattan/view/panea-pruncilor-the-infants-bread-a-post-tridentine-catechism-from-the-beginnings-of-habsburg-transylvania/</v>
      </c>
    </row>
    <row r="1133" spans="1:6" x14ac:dyDescent="0.25">
      <c r="A1133" t="s">
        <v>3235</v>
      </c>
      <c r="B1133" t="s">
        <v>3236</v>
      </c>
      <c r="C1133" t="s">
        <v>3237</v>
      </c>
      <c r="D1133">
        <v>2007</v>
      </c>
      <c r="E1133" t="s">
        <v>3142</v>
      </c>
      <c r="F1133" t="str">
        <f>HYPERLINK("https://www.szaktars.hu/harmattan/view/europai-muvelodestortenet/", "https://www.szaktars.hu/harmattan/view/europai-muvelodestortenet/")</f>
        <v>https://www.szaktars.hu/harmattan/view/europai-muvelodestortenet/</v>
      </c>
    </row>
    <row r="1134" spans="1:6" x14ac:dyDescent="0.25">
      <c r="A1134" t="s">
        <v>3238</v>
      </c>
      <c r="B1134" t="s">
        <v>3239</v>
      </c>
      <c r="C1134" t="s">
        <v>3240</v>
      </c>
      <c r="D1134">
        <v>2011</v>
      </c>
      <c r="E1134" t="s">
        <v>3142</v>
      </c>
      <c r="F1134" t="str">
        <f>HYPERLINK("https://www.szaktars.hu/harmattan/view/a-labjegyzet-egy-kulonos-tortenet/", "https://www.szaktars.hu/harmattan/view/a-labjegyzet-egy-kulonos-tortenet/")</f>
        <v>https://www.szaktars.hu/harmattan/view/a-labjegyzet-egy-kulonos-tortenet/</v>
      </c>
    </row>
    <row r="1135" spans="1:6" x14ac:dyDescent="0.25">
      <c r="A1135" t="s">
        <v>3241</v>
      </c>
      <c r="B1135" t="s">
        <v>3242</v>
      </c>
      <c r="C1135" t="s">
        <v>3243</v>
      </c>
      <c r="D1135">
        <v>2006</v>
      </c>
      <c r="E1135" t="s">
        <v>3142</v>
      </c>
      <c r="F1135" t="str">
        <f>HYPERLINK("https://www.szaktars.hu/harmattan/view/a-mult-politikai-felhasznalasai/", "https://www.szaktars.hu/harmattan/view/a-mult-politikai-felhasznalasai/")</f>
        <v>https://www.szaktars.hu/harmattan/view/a-mult-politikai-felhasznalasai/</v>
      </c>
    </row>
    <row r="1136" spans="1:6" x14ac:dyDescent="0.25">
      <c r="A1136" t="s">
        <v>3244</v>
      </c>
      <c r="B1136" t="s">
        <v>3245</v>
      </c>
      <c r="C1136" t="s">
        <v>3246</v>
      </c>
      <c r="D1136">
        <v>2006</v>
      </c>
      <c r="E1136" t="s">
        <v>3142</v>
      </c>
      <c r="F1136" t="str">
        <f>HYPERLINK("https://www.szaktars.hu/harmattan/view/a-tortenetiseg-rendjei-prezentizmus-es-idotapasztalat/", "https://www.szaktars.hu/harmattan/view/a-tortenetiseg-rendjei-prezentizmus-es-idotapasztalat/")</f>
        <v>https://www.szaktars.hu/harmattan/view/a-tortenetiseg-rendjei-prezentizmus-es-idotapasztalat/</v>
      </c>
    </row>
    <row r="1137" spans="1:6" x14ac:dyDescent="0.25">
      <c r="A1137" t="s">
        <v>3247</v>
      </c>
      <c r="B1137" t="s">
        <v>3248</v>
      </c>
      <c r="C1137" t="s">
        <v>3249</v>
      </c>
      <c r="D1137">
        <v>2009</v>
      </c>
      <c r="E1137" t="s">
        <v>3142</v>
      </c>
      <c r="F1137" t="str">
        <f>HYPERLINK("https://www.szaktars.hu/harmattan/view/hetkoznapi-hosok-ellenallok-lazadok-es-a-dzsessz/", "https://www.szaktars.hu/harmattan/view/hetkoznapi-hosok-ellenallok-lazadok-es-a-dzsessz/")</f>
        <v>https://www.szaktars.hu/harmattan/view/hetkoznapi-hosok-ellenallok-lazadok-es-a-dzsessz/</v>
      </c>
    </row>
    <row r="1138" spans="1:6" x14ac:dyDescent="0.25">
      <c r="A1138" t="s">
        <v>3250</v>
      </c>
      <c r="B1138" t="s">
        <v>3248</v>
      </c>
      <c r="C1138" t="s">
        <v>3251</v>
      </c>
      <c r="D1138">
        <v>2008</v>
      </c>
      <c r="E1138" t="s">
        <v>3142</v>
      </c>
      <c r="F1138" t="str">
        <f>HYPERLINK("https://www.szaktars.hu/harmattan/view/mozgalmas-evek-egy-huszadik-szazadi-eletut/", "https://www.szaktars.hu/harmattan/view/mozgalmas-evek-egy-huszadik-szazadi-eletut/")</f>
        <v>https://www.szaktars.hu/harmattan/view/mozgalmas-evek-egy-huszadik-szazadi-eletut/</v>
      </c>
    </row>
    <row r="1139" spans="1:6" x14ac:dyDescent="0.25">
      <c r="A1139" t="s">
        <v>3252</v>
      </c>
      <c r="B1139" t="s">
        <v>3253</v>
      </c>
      <c r="C1139" t="s">
        <v>3254</v>
      </c>
      <c r="D1139">
        <v>2011</v>
      </c>
      <c r="E1139" t="s">
        <v>3142</v>
      </c>
      <c r="F1139" t="str">
        <f>HYPERLINK("https://www.szaktars.hu/harmattan/view/bun-bunhodes-buntetes/", "https://www.szaktars.hu/harmattan/view/bun-bunhodes-buntetes/")</f>
        <v>https://www.szaktars.hu/harmattan/view/bun-bunhodes-buntetes/</v>
      </c>
    </row>
    <row r="1140" spans="1:6" x14ac:dyDescent="0.25">
      <c r="A1140" t="s">
        <v>3255</v>
      </c>
      <c r="B1140" t="s">
        <v>3256</v>
      </c>
      <c r="C1140" t="s">
        <v>3257</v>
      </c>
      <c r="D1140">
        <v>2016</v>
      </c>
      <c r="E1140" t="s">
        <v>3142</v>
      </c>
      <c r="F1140" t="str">
        <f>HYPERLINK("https://www.szaktars.hu/harmattan/view/tanulmanyok-a-karib-tersegrol/", "https://www.szaktars.hu/harmattan/view/tanulmanyok-a-karib-tersegrol/")</f>
        <v>https://www.szaktars.hu/harmattan/view/tanulmanyok-a-karib-tersegrol/</v>
      </c>
    </row>
    <row r="1141" spans="1:6" x14ac:dyDescent="0.25">
      <c r="A1141" t="s">
        <v>3258</v>
      </c>
      <c r="B1141" t="s">
        <v>3259</v>
      </c>
      <c r="C1141" t="s">
        <v>3260</v>
      </c>
      <c r="D1141">
        <v>2012</v>
      </c>
      <c r="E1141" t="s">
        <v>3142</v>
      </c>
      <c r="F1141" t="str">
        <f>HYPERLINK("https://www.szaktars.hu/harmattan/view/mely-kutforrasa-a-bolcsessegnek-vegyeszek-es-vegyuletek-esszek-a-termeszettudomany-vilagabol/", "https://www.szaktars.hu/harmattan/view/mely-kutforrasa-a-bolcsessegnek-vegyeszek-es-vegyuletek-esszek-a-termeszettudomany-vilagabol/")</f>
        <v>https://www.szaktars.hu/harmattan/view/mely-kutforrasa-a-bolcsessegnek-vegyeszek-es-vegyuletek-esszek-a-termeszettudomany-vilagabol/</v>
      </c>
    </row>
    <row r="1142" spans="1:6" x14ac:dyDescent="0.25">
      <c r="A1142" t="s">
        <v>3261</v>
      </c>
      <c r="B1142" t="s">
        <v>3262</v>
      </c>
      <c r="C1142" t="s">
        <v>3263</v>
      </c>
      <c r="D1142">
        <v>2005</v>
      </c>
      <c r="E1142" t="s">
        <v>3142</v>
      </c>
      <c r="F1142" t="str">
        <f>HYPERLINK("https://www.szaktars.hu/harmattan/view/getica-a-gotok-eredete-es-tettei/", "https://www.szaktars.hu/harmattan/view/getica-a-gotok-eredete-es-tettei/")</f>
        <v>https://www.szaktars.hu/harmattan/view/getica-a-gotok-eredete-es-tettei/</v>
      </c>
    </row>
    <row r="1143" spans="1:6" x14ac:dyDescent="0.25">
      <c r="A1143" t="s">
        <v>3264</v>
      </c>
      <c r="B1143" t="s">
        <v>3265</v>
      </c>
      <c r="C1143" t="s">
        <v>3266</v>
      </c>
      <c r="D1143">
        <v>2016</v>
      </c>
      <c r="E1143" t="s">
        <v>3142</v>
      </c>
      <c r="F1143" t="str">
        <f>HYPERLINK("https://www.szaktars.hu/harmattan/view/kina-xx-szazadi-tortenete/", "https://www.szaktars.hu/harmattan/view/kina-xx-szazadi-tortenete/")</f>
        <v>https://www.szaktars.hu/harmattan/view/kina-xx-szazadi-tortenete/</v>
      </c>
    </row>
    <row r="1144" spans="1:6" x14ac:dyDescent="0.25">
      <c r="A1144" t="s">
        <v>3267</v>
      </c>
      <c r="B1144" t="s">
        <v>3268</v>
      </c>
      <c r="C1144" t="s">
        <v>3269</v>
      </c>
      <c r="D1144">
        <v>2009</v>
      </c>
      <c r="E1144" t="s">
        <v>3142</v>
      </c>
      <c r="F1144" t="str">
        <f>HYPERLINK("https://www.szaktars.hu/harmattan/view/az-uj-nemzetallamok-es-az-etnikai-tisztogatasok-kelet-europaban-1989-utan/", "https://www.szaktars.hu/harmattan/view/az-uj-nemzetallamok-es-az-etnikai-tisztogatasok-kelet-europaban-1989-utan/")</f>
        <v>https://www.szaktars.hu/harmattan/view/az-uj-nemzetallamok-es-az-etnikai-tisztogatasok-kelet-europaban-1989-utan/</v>
      </c>
    </row>
    <row r="1145" spans="1:6" x14ac:dyDescent="0.25">
      <c r="A1145" t="s">
        <v>3270</v>
      </c>
      <c r="B1145" t="s">
        <v>3271</v>
      </c>
      <c r="C1145" t="s">
        <v>3272</v>
      </c>
      <c r="D1145">
        <v>2015</v>
      </c>
      <c r="E1145" t="s">
        <v>3142</v>
      </c>
      <c r="F1145" t="str">
        <f>HYPERLINK("https://www.szaktars.hu/harmattan/view/religious-orders-under-communism-czechoslovakia-1948-1989/", "https://www.szaktars.hu/harmattan/view/religious-orders-under-communism-czechoslovakia-1948-1989/")</f>
        <v>https://www.szaktars.hu/harmattan/view/religious-orders-under-communism-czechoslovakia-1948-1989/</v>
      </c>
    </row>
    <row r="1146" spans="1:6" x14ac:dyDescent="0.25">
      <c r="A1146" t="s">
        <v>3273</v>
      </c>
      <c r="B1146" t="s">
        <v>3274</v>
      </c>
      <c r="C1146" t="s">
        <v>3275</v>
      </c>
      <c r="D1146">
        <v>2015</v>
      </c>
      <c r="E1146" t="s">
        <v>3142</v>
      </c>
      <c r="F1146" t="str">
        <f>HYPERLINK("https://www.szaktars.hu/harmattan/view/information-history-of-the-first-world-war/", "https://www.szaktars.hu/harmattan/view/information-history-of-the-first-world-war/")</f>
        <v>https://www.szaktars.hu/harmattan/view/information-history-of-the-first-world-war/</v>
      </c>
    </row>
    <row r="1147" spans="1:6" x14ac:dyDescent="0.25">
      <c r="A1147" t="s">
        <v>3276</v>
      </c>
      <c r="B1147" t="s">
        <v>3277</v>
      </c>
      <c r="C1147" t="s">
        <v>3278</v>
      </c>
      <c r="D1147">
        <v>2010</v>
      </c>
      <c r="E1147" t="s">
        <v>3142</v>
      </c>
      <c r="F1147" t="str">
        <f>HYPERLINK("https://www.szaktars.hu/harmattan/view/diplomatak-es-kemek-konstantinapolyban/", "https://www.szaktars.hu/harmattan/view/diplomatak-es-kemek-konstantinapolyban/")</f>
        <v>https://www.szaktars.hu/harmattan/view/diplomatak-es-kemek-konstantinapolyban/</v>
      </c>
    </row>
    <row r="1148" spans="1:6" x14ac:dyDescent="0.25">
      <c r="A1148" t="s">
        <v>3279</v>
      </c>
      <c r="B1148" t="s">
        <v>3280</v>
      </c>
      <c r="C1148" t="s">
        <v>3281</v>
      </c>
      <c r="D1148" t="s">
        <v>149</v>
      </c>
      <c r="E1148" t="s">
        <v>3142</v>
      </c>
      <c r="F1148" t="str">
        <f>HYPERLINK("https://www.szaktars.hu/harmattan/view/a-jatek-hatalma-futball-penz-politika/", "https://www.szaktars.hu/harmattan/view/a-jatek-hatalma-futball-penz-politika/")</f>
        <v>https://www.szaktars.hu/harmattan/view/a-jatek-hatalma-futball-penz-politika/</v>
      </c>
    </row>
    <row r="1149" spans="1:6" x14ac:dyDescent="0.25">
      <c r="A1149" t="s">
        <v>3282</v>
      </c>
      <c r="B1149" t="s">
        <v>3283</v>
      </c>
      <c r="C1149" t="s">
        <v>3284</v>
      </c>
      <c r="D1149">
        <v>2007</v>
      </c>
      <c r="E1149" t="s">
        <v>3142</v>
      </c>
      <c r="F1149" t="str">
        <f>HYPERLINK("https://www.szaktars.hu/harmattan/view/allamszocializmus-ertelmezesek-vitak-tanulsagok/", "https://www.szaktars.hu/harmattan/view/allamszocializmus-ertelmezesek-vitak-tanulsagok/")</f>
        <v>https://www.szaktars.hu/harmattan/view/allamszocializmus-ertelmezesek-vitak-tanulsagok/</v>
      </c>
    </row>
    <row r="1150" spans="1:6" x14ac:dyDescent="0.25">
      <c r="A1150" t="s">
        <v>3285</v>
      </c>
      <c r="B1150" t="s">
        <v>3286</v>
      </c>
      <c r="C1150" t="s">
        <v>3287</v>
      </c>
      <c r="D1150">
        <v>2009</v>
      </c>
      <c r="E1150" t="s">
        <v>3142</v>
      </c>
      <c r="F1150" t="str">
        <f>HYPERLINK("https://www.szaktars.hu/harmattan/view/1968-kelet-europa-es-a-vilag/", "https://www.szaktars.hu/harmattan/view/1968-kelet-europa-es-a-vilag/")</f>
        <v>https://www.szaktars.hu/harmattan/view/1968-kelet-europa-es-a-vilag/</v>
      </c>
    </row>
    <row r="1151" spans="1:6" x14ac:dyDescent="0.25">
      <c r="A1151" t="s">
        <v>3288</v>
      </c>
      <c r="B1151" t="s">
        <v>3289</v>
      </c>
      <c r="C1151" t="s">
        <v>3290</v>
      </c>
      <c r="D1151">
        <v>2015</v>
      </c>
      <c r="E1151" t="s">
        <v>3142</v>
      </c>
      <c r="F1151" t="str">
        <f>HYPERLINK("https://www.szaktars.hu/harmattan/view/ellenzekiseg-es-egyuttmukodes-kozott-ukranok-a-ket-vilaghaboru-kozotti-lengyelorszagban-1918-1939/", "https://www.szaktars.hu/harmattan/view/ellenzekiseg-es-egyuttmukodes-kozott-ukranok-a-ket-vilaghaboru-kozotti-lengyelorszagban-1918-1939/")</f>
        <v>https://www.szaktars.hu/harmattan/view/ellenzekiseg-es-egyuttmukodes-kozott-ukranok-a-ket-vilaghaboru-kozotti-lengyelorszagban-1918-1939/</v>
      </c>
    </row>
    <row r="1152" spans="1:6" x14ac:dyDescent="0.25">
      <c r="A1152" t="s">
        <v>3291</v>
      </c>
      <c r="B1152" t="s">
        <v>3292</v>
      </c>
      <c r="C1152" t="s">
        <v>3293</v>
      </c>
      <c r="D1152">
        <v>2003</v>
      </c>
      <c r="E1152" t="s">
        <v>3142</v>
      </c>
      <c r="F1152" t="str">
        <f>HYPERLINK("https://www.szaktars.hu/harmattan/view/a-republikanizmus-vita-vita-az-amerikai-forradalom-eszmetorteneti-hattererol/", "https://www.szaktars.hu/harmattan/view/a-republikanizmus-vita-vita-az-amerikai-forradalom-eszmetorteneti-hattererol/")</f>
        <v>https://www.szaktars.hu/harmattan/view/a-republikanizmus-vita-vita-az-amerikai-forradalom-eszmetorteneti-hattererol/</v>
      </c>
    </row>
    <row r="1153" spans="1:6" x14ac:dyDescent="0.25">
      <c r="A1153" t="s">
        <v>3294</v>
      </c>
      <c r="B1153" t="s">
        <v>3292</v>
      </c>
      <c r="C1153" t="s">
        <v>3295</v>
      </c>
      <c r="D1153">
        <v>2014</v>
      </c>
      <c r="E1153" t="s">
        <v>3142</v>
      </c>
      <c r="F1153" t="str">
        <f>HYPERLINK("https://www.szaktars.hu/harmattan/view/amerikai-tortenelem-es-tortenetiras-valogatott-tanulmanyok/", "https://www.szaktars.hu/harmattan/view/amerikai-tortenelem-es-tortenetiras-valogatott-tanulmanyok/")</f>
        <v>https://www.szaktars.hu/harmattan/view/amerikai-tortenelem-es-tortenetiras-valogatott-tanulmanyok/</v>
      </c>
    </row>
    <row r="1154" spans="1:6" x14ac:dyDescent="0.25">
      <c r="A1154" t="s">
        <v>3296</v>
      </c>
      <c r="B1154" t="s">
        <v>3297</v>
      </c>
      <c r="C1154" t="s">
        <v>3298</v>
      </c>
      <c r="D1154">
        <v>2006</v>
      </c>
      <c r="E1154" t="s">
        <v>3142</v>
      </c>
      <c r="F1154" t="str">
        <f>HYPERLINK("https://www.szaktars.hu/harmattan/view/dokumentumok-a-kozel-kelet-xx-szazadi-tortenetehez/", "https://www.szaktars.hu/harmattan/view/dokumentumok-a-kozel-kelet-xx-szazadi-tortenetehez/")</f>
        <v>https://www.szaktars.hu/harmattan/view/dokumentumok-a-kozel-kelet-xx-szazadi-tortenetehez/</v>
      </c>
    </row>
    <row r="1155" spans="1:6" x14ac:dyDescent="0.25">
      <c r="A1155" t="s">
        <v>3299</v>
      </c>
      <c r="B1155" t="s">
        <v>3300</v>
      </c>
      <c r="C1155" t="s">
        <v>3301</v>
      </c>
      <c r="D1155">
        <v>2007</v>
      </c>
      <c r="E1155" t="s">
        <v>3142</v>
      </c>
      <c r="F1155" t="str">
        <f>HYPERLINK("https://www.szaktars.hu/harmattan/view/rizsfoldjeim-hatara-a-tenger-allamszervezodes-madagaszkaron-a-gyarmati-uralom-elott/", "https://www.szaktars.hu/harmattan/view/rizsfoldjeim-hatara-a-tenger-allamszervezodes-madagaszkaron-a-gyarmati-uralom-elott/")</f>
        <v>https://www.szaktars.hu/harmattan/view/rizsfoldjeim-hatara-a-tenger-allamszervezodes-madagaszkaron-a-gyarmati-uralom-elott/</v>
      </c>
    </row>
    <row r="1156" spans="1:6" x14ac:dyDescent="0.25">
      <c r="A1156" t="s">
        <v>3302</v>
      </c>
      <c r="B1156" t="s">
        <v>3303</v>
      </c>
      <c r="C1156" t="s">
        <v>3304</v>
      </c>
      <c r="D1156">
        <v>2012</v>
      </c>
      <c r="E1156" t="s">
        <v>3142</v>
      </c>
      <c r="F1156" t="str">
        <f>HYPERLINK("https://www.szaktars.hu/harmattan/view/a-nemet-ujrafegyverkezes-es-a-hideghaboru-1945-1969-osszegzes-es-dokumentumok/", "https://www.szaktars.hu/harmattan/view/a-nemet-ujrafegyverkezes-es-a-hideghaboru-1945-1969-osszegzes-es-dokumentumok/")</f>
        <v>https://www.szaktars.hu/harmattan/view/a-nemet-ujrafegyverkezes-es-a-hideghaboru-1945-1969-osszegzes-es-dokumentumok/</v>
      </c>
    </row>
    <row r="1157" spans="1:6" x14ac:dyDescent="0.25">
      <c r="A1157" t="s">
        <v>3305</v>
      </c>
      <c r="B1157" t="s">
        <v>747</v>
      </c>
      <c r="C1157" t="s">
        <v>3306</v>
      </c>
      <c r="D1157">
        <v>2009</v>
      </c>
      <c r="E1157" t="s">
        <v>3142</v>
      </c>
      <c r="F1157" t="str">
        <f>HYPERLINK("https://www.szaktars.hu/harmattan/view/nemet-csaszarsag-1871-1918-osszegzes-es-dokumentumok/", "https://www.szaktars.hu/harmattan/view/nemet-csaszarsag-1871-1918-osszegzes-es-dokumentumok/")</f>
        <v>https://www.szaktars.hu/harmattan/view/nemet-csaszarsag-1871-1918-osszegzes-es-dokumentumok/</v>
      </c>
    </row>
    <row r="1158" spans="1:6" x14ac:dyDescent="0.25">
      <c r="A1158" t="s">
        <v>3307</v>
      </c>
      <c r="B1158" t="s">
        <v>747</v>
      </c>
      <c r="C1158" t="s">
        <v>3308</v>
      </c>
      <c r="D1158">
        <v>2010</v>
      </c>
      <c r="E1158" t="s">
        <v>3142</v>
      </c>
      <c r="F1158" t="str">
        <f>HYPERLINK("https://www.szaktars.hu/harmattan/view/a-nemet-demokratikus-koztarsasag-1949-1990-osszegzes-es-dokumentumok/", "https://www.szaktars.hu/harmattan/view/a-nemet-demokratikus-koztarsasag-1949-1990-osszegzes-es-dokumentumok/")</f>
        <v>https://www.szaktars.hu/harmattan/view/a-nemet-demokratikus-koztarsasag-1949-1990-osszegzes-es-dokumentumok/</v>
      </c>
    </row>
    <row r="1159" spans="1:6" x14ac:dyDescent="0.25">
      <c r="A1159" t="s">
        <v>3309</v>
      </c>
      <c r="B1159" t="s">
        <v>747</v>
      </c>
      <c r="C1159" t="s">
        <v>3310</v>
      </c>
      <c r="D1159">
        <v>2010</v>
      </c>
      <c r="E1159" t="s">
        <v>3142</v>
      </c>
      <c r="F1159" t="str">
        <f>HYPERLINK("https://www.szaktars.hu/harmattan/view/a-nemet-szovetsegi-koztarsasag-1949-2009-osszegzes-es-dokumentumok/", "https://www.szaktars.hu/harmattan/view/a-nemet-szovetsegi-koztarsasag-1949-2009-osszegzes-es-dokumentumok/")</f>
        <v>https://www.szaktars.hu/harmattan/view/a-nemet-szovetsegi-koztarsasag-1949-2009-osszegzes-es-dokumentumok/</v>
      </c>
    </row>
    <row r="1160" spans="1:6" x14ac:dyDescent="0.25">
      <c r="A1160" t="s">
        <v>3311</v>
      </c>
      <c r="B1160" t="s">
        <v>747</v>
      </c>
      <c r="C1160" t="s">
        <v>3312</v>
      </c>
      <c r="D1160">
        <v>2014</v>
      </c>
      <c r="E1160" t="s">
        <v>3142</v>
      </c>
      <c r="F1160" t="str">
        <f>HYPERLINK("https://www.szaktars.hu/harmattan/view/az-elso-vilaghaboru-1914-1918-tanulmanyok-es-dokumentumok/", "https://www.szaktars.hu/harmattan/view/az-elso-vilaghaboru-1914-1918-tanulmanyok-es-dokumentumok/")</f>
        <v>https://www.szaktars.hu/harmattan/view/az-elso-vilaghaboru-1914-1918-tanulmanyok-es-dokumentumok/</v>
      </c>
    </row>
    <row r="1161" spans="1:6" x14ac:dyDescent="0.25">
      <c r="A1161" t="s">
        <v>3313</v>
      </c>
      <c r="B1161" t="s">
        <v>747</v>
      </c>
      <c r="C1161" t="s">
        <v>3314</v>
      </c>
      <c r="D1161">
        <v>2007</v>
      </c>
      <c r="E1161" t="s">
        <v>3142</v>
      </c>
      <c r="F1161" t="str">
        <f>HYPERLINK("https://www.szaktars.hu/harmattan/view/demokracia-es-diktatura-nemetorszagban-1918-1945-i-kotet/", "https://www.szaktars.hu/harmattan/view/demokracia-es-diktatura-nemetorszagban-1918-1945-i-kotet/")</f>
        <v>https://www.szaktars.hu/harmattan/view/demokracia-es-diktatura-nemetorszagban-1918-1945-i-kotet/</v>
      </c>
    </row>
    <row r="1162" spans="1:6" x14ac:dyDescent="0.25">
      <c r="A1162" t="s">
        <v>3315</v>
      </c>
      <c r="B1162" t="s">
        <v>747</v>
      </c>
      <c r="C1162" t="s">
        <v>3316</v>
      </c>
      <c r="D1162">
        <v>2007</v>
      </c>
      <c r="E1162" t="s">
        <v>3142</v>
      </c>
      <c r="F1162" t="str">
        <f>HYPERLINK("https://www.szaktars.hu/harmattan/view/demokracia-es-diktatura-nemetorszagban-1918-1945-ii-a-harmadik-birodalom-1933-1945/", "https://www.szaktars.hu/harmattan/view/demokracia-es-diktatura-nemetorszagban-1918-1945-ii-a-harmadik-birodalom-1933-1945/")</f>
        <v>https://www.szaktars.hu/harmattan/view/demokracia-es-diktatura-nemetorszagban-1918-1945-ii-a-harmadik-birodalom-1933-1945/</v>
      </c>
    </row>
    <row r="1163" spans="1:6" x14ac:dyDescent="0.25">
      <c r="A1163" t="s">
        <v>3317</v>
      </c>
      <c r="B1163" t="s">
        <v>747</v>
      </c>
      <c r="C1163" t="s">
        <v>3318</v>
      </c>
      <c r="D1163">
        <v>2009</v>
      </c>
      <c r="E1163" t="s">
        <v>3142</v>
      </c>
      <c r="F1163" t="str">
        <f>HYPERLINK("https://www.szaktars.hu/harmattan/view/hatalmi-politika-kozep-europaban-nemet-es-osztrak-magyar-kozep-europa-tervezes-1871-1918/", "https://www.szaktars.hu/harmattan/view/hatalmi-politika-kozep-europaban-nemet-es-osztrak-magyar-kozep-europa-tervezes-1871-1918/")</f>
        <v>https://www.szaktars.hu/harmattan/view/hatalmi-politika-kozep-europaban-nemet-es-osztrak-magyar-kozep-europa-tervezes-1871-1918/</v>
      </c>
    </row>
    <row r="1164" spans="1:6" x14ac:dyDescent="0.25">
      <c r="A1164" t="s">
        <v>3319</v>
      </c>
      <c r="B1164" t="s">
        <v>747</v>
      </c>
      <c r="C1164" t="s">
        <v>3320</v>
      </c>
      <c r="D1164">
        <v>2013</v>
      </c>
      <c r="E1164" t="s">
        <v>3142</v>
      </c>
      <c r="F1164" t="str">
        <f>HYPERLINK("https://www.szaktars.hu/harmattan/view/katyn-1940-lengyelorszag-a-szovjetunio-es-nemetorszag-elettereben-1914-1945/", "https://www.szaktars.hu/harmattan/view/katyn-1940-lengyelorszag-a-szovjetunio-es-nemetorszag-elettereben-1914-1945/")</f>
        <v>https://www.szaktars.hu/harmattan/view/katyn-1940-lengyelorszag-a-szovjetunio-es-nemetorszag-elettereben-1914-1945/</v>
      </c>
    </row>
    <row r="1165" spans="1:6" x14ac:dyDescent="0.25">
      <c r="A1165" t="s">
        <v>3321</v>
      </c>
      <c r="B1165" t="s">
        <v>3322</v>
      </c>
      <c r="C1165" t="s">
        <v>3323</v>
      </c>
      <c r="D1165">
        <v>2010</v>
      </c>
      <c r="E1165" t="s">
        <v>3142</v>
      </c>
      <c r="F1165" t="str">
        <f>HYPERLINK("https://www.szaktars.hu/harmattan/view/mikrotortenelem-masodfokon/", "https://www.szaktars.hu/harmattan/view/mikrotortenelem-masodfokon/")</f>
        <v>https://www.szaktars.hu/harmattan/view/mikrotortenelem-masodfokon/</v>
      </c>
    </row>
    <row r="1166" spans="1:6" x14ac:dyDescent="0.25">
      <c r="A1166" t="s">
        <v>3324</v>
      </c>
      <c r="B1166" t="s">
        <v>3325</v>
      </c>
      <c r="C1166" t="s">
        <v>3326</v>
      </c>
      <c r="D1166">
        <v>2005</v>
      </c>
      <c r="E1166" t="s">
        <v>3142</v>
      </c>
      <c r="F1166" t="str">
        <f>HYPERLINK("https://www.szaktars.hu/harmattan/view/a-francia-nemesi-tarsadalom-a-18-szazadban/", "https://www.szaktars.hu/harmattan/view/a-francia-nemesi-tarsadalom-a-18-szazadban/")</f>
        <v>https://www.szaktars.hu/harmattan/view/a-francia-nemesi-tarsadalom-a-18-szazadban/</v>
      </c>
    </row>
    <row r="1167" spans="1:6" x14ac:dyDescent="0.25">
      <c r="A1167" t="s">
        <v>3327</v>
      </c>
      <c r="B1167" t="s">
        <v>3328</v>
      </c>
      <c r="C1167" t="s">
        <v>3329</v>
      </c>
      <c r="D1167">
        <v>2015</v>
      </c>
      <c r="E1167" t="s">
        <v>3142</v>
      </c>
      <c r="F1167" t="str">
        <f>HYPERLINK("https://www.szaktars.hu/harmattan/view/torok-szovetseg-habsburg-kiegyezes-a-bocskai-felkeles-tortenetehez/", "https://www.szaktars.hu/harmattan/view/torok-szovetseg-habsburg-kiegyezes-a-bocskai-felkeles-tortenetehez/")</f>
        <v>https://www.szaktars.hu/harmattan/view/torok-szovetseg-habsburg-kiegyezes-a-bocskai-felkeles-tortenetehez/</v>
      </c>
    </row>
    <row r="1168" spans="1:6" x14ac:dyDescent="0.25">
      <c r="A1168" t="s">
        <v>3330</v>
      </c>
      <c r="B1168" t="s">
        <v>3331</v>
      </c>
      <c r="C1168" t="s">
        <v>3332</v>
      </c>
      <c r="D1168">
        <v>2004</v>
      </c>
      <c r="E1168" t="s">
        <v>3142</v>
      </c>
      <c r="F1168" t="str">
        <f>HYPERLINK("https://www.szaktars.hu/harmattan/view/kapcsolatok-es-keresztutak-horvatok-szerbek-bosnyakok-a-nemzetallam-vonzasaban/", "https://www.szaktars.hu/harmattan/view/kapcsolatok-es-keresztutak-horvatok-szerbek-bosnyakok-a-nemzetallam-vonzasaban/")</f>
        <v>https://www.szaktars.hu/harmattan/view/kapcsolatok-es-keresztutak-horvatok-szerbek-bosnyakok-a-nemzetallam-vonzasaban/</v>
      </c>
    </row>
    <row r="1169" spans="1:6" x14ac:dyDescent="0.25">
      <c r="A1169" t="s">
        <v>3333</v>
      </c>
      <c r="B1169" t="s">
        <v>3334</v>
      </c>
      <c r="C1169" t="s">
        <v>3335</v>
      </c>
      <c r="D1169">
        <v>2013</v>
      </c>
      <c r="E1169" t="s">
        <v>3142</v>
      </c>
      <c r="F1169" t="str">
        <f>HYPERLINK("https://www.szaktars.hu/harmattan/view/fernand-braudel-es-a-tarsadalomtudomanyok/", "https://www.szaktars.hu/harmattan/view/fernand-braudel-es-a-tarsadalomtudomanyok/")</f>
        <v>https://www.szaktars.hu/harmattan/view/fernand-braudel-es-a-tarsadalomtudomanyok/</v>
      </c>
    </row>
    <row r="1170" spans="1:6" x14ac:dyDescent="0.25">
      <c r="A1170" t="s">
        <v>3336</v>
      </c>
      <c r="B1170" t="s">
        <v>3337</v>
      </c>
      <c r="C1170" t="s">
        <v>3338</v>
      </c>
      <c r="D1170">
        <v>2016</v>
      </c>
      <c r="E1170" t="s">
        <v>3142</v>
      </c>
      <c r="F1170" t="str">
        <f>HYPERLINK("https://www.szaktars.hu/harmattan/view/az-ormeny-nepirtas-tortenete-a-sivatagban-elhetnek-de-masutt-sehol/", "https://www.szaktars.hu/harmattan/view/az-ormeny-nepirtas-tortenete-a-sivatagban-elhetnek-de-masutt-sehol/")</f>
        <v>https://www.szaktars.hu/harmattan/view/az-ormeny-nepirtas-tortenete-a-sivatagban-elhetnek-de-masutt-sehol/</v>
      </c>
    </row>
    <row r="1171" spans="1:6" x14ac:dyDescent="0.25">
      <c r="A1171" t="s">
        <v>3339</v>
      </c>
      <c r="B1171" t="s">
        <v>3340</v>
      </c>
      <c r="C1171" t="s">
        <v>3341</v>
      </c>
      <c r="D1171">
        <v>2014</v>
      </c>
      <c r="E1171" t="s">
        <v>3142</v>
      </c>
      <c r="F1171" t="str">
        <f>HYPERLINK("https://www.szaktars.hu/harmattan/view/a-zsido-hermann-megterese-oneletiras-tortenelem-es-fikcio/", "https://www.szaktars.hu/harmattan/view/a-zsido-hermann-megterese-oneletiras-tortenelem-es-fikcio/")</f>
        <v>https://www.szaktars.hu/harmattan/view/a-zsido-hermann-megterese-oneletiras-tortenelem-es-fikcio/</v>
      </c>
    </row>
    <row r="1172" spans="1:6" x14ac:dyDescent="0.25">
      <c r="A1172" t="s">
        <v>3342</v>
      </c>
      <c r="B1172" t="s">
        <v>3343</v>
      </c>
      <c r="C1172" t="s">
        <v>3344</v>
      </c>
      <c r="D1172">
        <v>2012</v>
      </c>
      <c r="E1172" t="s">
        <v>3142</v>
      </c>
      <c r="F1172" t="str">
        <f>HYPERLINK("https://www.szaktars.hu/harmattan/view/izrael-szembesitve-a-multtal-tanulmany-az-uj-tortenelem-hatasarol/", "https://www.szaktars.hu/harmattan/view/izrael-szembesitve-a-multtal-tanulmany-az-uj-tortenelem-hatasarol/")</f>
        <v>https://www.szaktars.hu/harmattan/view/izrael-szembesitve-a-multtal-tanulmany-az-uj-tortenelem-hatasarol/</v>
      </c>
    </row>
    <row r="1173" spans="1:6" x14ac:dyDescent="0.25">
      <c r="A1173" t="s">
        <v>3345</v>
      </c>
      <c r="B1173" t="s">
        <v>3346</v>
      </c>
      <c r="C1173" t="s">
        <v>3347</v>
      </c>
      <c r="D1173">
        <v>2013</v>
      </c>
      <c r="E1173" t="s">
        <v>3142</v>
      </c>
      <c r="F1173" t="str">
        <f>HYPERLINK("https://www.szaktars.hu/harmattan/view/latin-amerika-1750-1840-gyarmati-rendszer-felbomlasatol-a-fuggetlen-allamok-megalakulasaig/", "https://www.szaktars.hu/harmattan/view/latin-amerika-1750-1840-gyarmati-rendszer-felbomlasatol-a-fuggetlen-allamok-megalakulasaig/")</f>
        <v>https://www.szaktars.hu/harmattan/view/latin-amerika-1750-1840-gyarmati-rendszer-felbomlasatol-a-fuggetlen-allamok-megalakulasaig/</v>
      </c>
    </row>
    <row r="1174" spans="1:6" x14ac:dyDescent="0.25">
      <c r="A1174" t="s">
        <v>3348</v>
      </c>
      <c r="B1174" t="s">
        <v>3349</v>
      </c>
      <c r="C1174" t="s">
        <v>3350</v>
      </c>
      <c r="D1174">
        <v>2005</v>
      </c>
      <c r="E1174" t="s">
        <v>3142</v>
      </c>
      <c r="F1174" t="str">
        <f>HYPERLINK("https://www.szaktars.hu/harmattan/view/a-polgari-atalakulas-spanyolorszagban-1808-1868/", "https://www.szaktars.hu/harmattan/view/a-polgari-atalakulas-spanyolorszagban-1808-1868/")</f>
        <v>https://www.szaktars.hu/harmattan/view/a-polgari-atalakulas-spanyolorszagban-1808-1868/</v>
      </c>
    </row>
    <row r="1175" spans="1:6" x14ac:dyDescent="0.25">
      <c r="A1175" t="s">
        <v>3351</v>
      </c>
      <c r="B1175" t="s">
        <v>3349</v>
      </c>
      <c r="C1175" t="s">
        <v>3352</v>
      </c>
      <c r="D1175">
        <v>2010</v>
      </c>
      <c r="E1175" t="s">
        <v>3142</v>
      </c>
      <c r="F1175" t="str">
        <f>HYPERLINK("https://www.szaktars.hu/harmattan/view/spanyolorszag-es-latin-amerika-19-20-szazadi-rovid-tortenete/", "https://www.szaktars.hu/harmattan/view/spanyolorszag-es-latin-amerika-19-20-szazadi-rovid-tortenete/")</f>
        <v>https://www.szaktars.hu/harmattan/view/spanyolorszag-es-latin-amerika-19-20-szazadi-rovid-tortenete/</v>
      </c>
    </row>
    <row r="1176" spans="1:6" x14ac:dyDescent="0.25">
      <c r="A1176" t="s">
        <v>3353</v>
      </c>
      <c r="B1176" t="s">
        <v>3354</v>
      </c>
      <c r="C1176" t="s">
        <v>3355</v>
      </c>
      <c r="D1176">
        <v>2013</v>
      </c>
      <c r="E1176" t="s">
        <v>3142</v>
      </c>
      <c r="F1176" t="str">
        <f>HYPERLINK("https://www.szaktars.hu/harmattan/view/a-nemzeti-mitoszok-szerkezete-es-funkcioja-kelet-europaban/", "https://www.szaktars.hu/harmattan/view/a-nemzeti-mitoszok-szerkezete-es-funkcioja-kelet-europaban/")</f>
        <v>https://www.szaktars.hu/harmattan/view/a-nemzeti-mitoszok-szerkezete-es-funkcioja-kelet-europaban/</v>
      </c>
    </row>
    <row r="1177" spans="1:6" x14ac:dyDescent="0.25">
      <c r="A1177" t="s">
        <v>3356</v>
      </c>
      <c r="B1177" t="s">
        <v>3357</v>
      </c>
      <c r="C1177" t="s">
        <v>3358</v>
      </c>
      <c r="D1177">
        <v>2002</v>
      </c>
      <c r="E1177" t="s">
        <v>3142</v>
      </c>
      <c r="F1177" t="str">
        <f>HYPERLINK("https://www.szaktars.hu/harmattan/view/a-tortenesz-szerszamosladaja-a-jelenkori-torteneti-gondolkodas-nehany-aspektusa/", "https://www.szaktars.hu/harmattan/view/a-tortenesz-szerszamosladaja-a-jelenkori-torteneti-gondolkodas-nehany-aspektusa/")</f>
        <v>https://www.szaktars.hu/harmattan/view/a-tortenesz-szerszamosladaja-a-jelenkori-torteneti-gondolkodas-nehany-aspektusa/</v>
      </c>
    </row>
    <row r="1178" spans="1:6" x14ac:dyDescent="0.25">
      <c r="A1178" t="s">
        <v>3359</v>
      </c>
      <c r="B1178" t="s">
        <v>3360</v>
      </c>
      <c r="C1178" t="s">
        <v>3361</v>
      </c>
      <c r="D1178">
        <v>2014</v>
      </c>
      <c r="E1178" t="s">
        <v>3142</v>
      </c>
      <c r="F1178" t="str">
        <f>HYPERLINK("https://www.szaktars.hu/harmattan/view/a-tortenesz-mikroszkopja-a-mikrotortenelem-elmelete-es-gyakorlata/", "https://www.szaktars.hu/harmattan/view/a-tortenesz-mikroszkopja-a-mikrotortenelem-elmelete-es-gyakorlata/")</f>
        <v>https://www.szaktars.hu/harmattan/view/a-tortenesz-mikroszkopja-a-mikrotortenelem-elmelete-es-gyakorlata/</v>
      </c>
    </row>
    <row r="1179" spans="1:6" x14ac:dyDescent="0.25">
      <c r="A1179" t="s">
        <v>3362</v>
      </c>
      <c r="B1179" t="s">
        <v>3363</v>
      </c>
      <c r="C1179" t="s">
        <v>3364</v>
      </c>
      <c r="D1179">
        <v>2015</v>
      </c>
      <c r="E1179" t="s">
        <v>3142</v>
      </c>
      <c r="F1179" t="str">
        <f>HYPERLINK("https://www.szaktars.hu/harmattan/view/portugalia-a-huszadik-szazadban/", "https://www.szaktars.hu/harmattan/view/portugalia-a-huszadik-szazadban/")</f>
        <v>https://www.szaktars.hu/harmattan/view/portugalia-a-huszadik-szazadban/</v>
      </c>
    </row>
    <row r="1180" spans="1:6" x14ac:dyDescent="0.25">
      <c r="A1180" t="s">
        <v>3365</v>
      </c>
      <c r="B1180" t="s">
        <v>3366</v>
      </c>
      <c r="C1180" t="s">
        <v>3367</v>
      </c>
      <c r="D1180">
        <v>2015</v>
      </c>
      <c r="E1180" t="s">
        <v>3142</v>
      </c>
      <c r="F1180" t="str">
        <f>HYPERLINK("https://www.szaktars.hu/harmattan/view/keklo-hegyek-alatt-lotuszok-tava-tanulmanyok-bethlenfalvy-geza-tiszteletere/", "https://www.szaktars.hu/harmattan/view/keklo-hegyek-alatt-lotuszok-tava-tanulmanyok-bethlenfalvy-geza-tiszteletere/")</f>
        <v>https://www.szaktars.hu/harmattan/view/keklo-hegyek-alatt-lotuszok-tava-tanulmanyok-bethlenfalvy-geza-tiszteletere/</v>
      </c>
    </row>
    <row r="1181" spans="1:6" x14ac:dyDescent="0.25">
      <c r="A1181" t="s">
        <v>3368</v>
      </c>
      <c r="B1181" t="s">
        <v>3369</v>
      </c>
      <c r="C1181" t="s">
        <v>3370</v>
      </c>
      <c r="D1181">
        <v>2015</v>
      </c>
      <c r="E1181" t="s">
        <v>3142</v>
      </c>
      <c r="F1181" t="str">
        <f>HYPERLINK("https://www.szaktars.hu/harmattan/view/a-kozep-kelet-europai-falukozosseg-genezise-valogatott-tanulmanyok/", "https://www.szaktars.hu/harmattan/view/a-kozep-kelet-europai-falukozosseg-genezise-valogatott-tanulmanyok/")</f>
        <v>https://www.szaktars.hu/harmattan/view/a-kozep-kelet-europai-falukozosseg-genezise-valogatott-tanulmanyok/</v>
      </c>
    </row>
    <row r="1182" spans="1:6" x14ac:dyDescent="0.25">
      <c r="A1182" t="s">
        <v>3371</v>
      </c>
      <c r="B1182" t="s">
        <v>3372</v>
      </c>
      <c r="C1182" t="s">
        <v>3373</v>
      </c>
      <c r="D1182">
        <v>2010</v>
      </c>
      <c r="E1182" t="s">
        <v>3142</v>
      </c>
      <c r="F1182" t="str">
        <f>HYPERLINK("https://www.szaktars.hu/harmattan/view/a-penz-tortenete-babiloniaban-a-penzveres-elott-es-utan/", "https://www.szaktars.hu/harmattan/view/a-penz-tortenete-babiloniaban-a-penzveres-elott-es-utan/")</f>
        <v>https://www.szaktars.hu/harmattan/view/a-penz-tortenete-babiloniaban-a-penzveres-elott-es-utan/</v>
      </c>
    </row>
    <row r="1183" spans="1:6" x14ac:dyDescent="0.25">
      <c r="A1183" t="s">
        <v>3374</v>
      </c>
      <c r="B1183" t="s">
        <v>3366</v>
      </c>
      <c r="C1183" t="s">
        <v>3375</v>
      </c>
      <c r="D1183">
        <v>2016</v>
      </c>
      <c r="E1183" t="s">
        <v>3142</v>
      </c>
      <c r="F1183" t="str">
        <f>HYPERLINK("https://www.szaktars.hu/harmattan/view/kulturalis-hagyomany-a-modern-kelet-azsiai-allamban/", "https://www.szaktars.hu/harmattan/view/kulturalis-hagyomany-a-modern-kelet-azsiai-allamban/")</f>
        <v>https://www.szaktars.hu/harmattan/view/kulturalis-hagyomany-a-modern-kelet-azsiai-allamban/</v>
      </c>
    </row>
    <row r="1184" spans="1:6" x14ac:dyDescent="0.25">
      <c r="A1184" t="s">
        <v>3376</v>
      </c>
      <c r="B1184" t="s">
        <v>3377</v>
      </c>
      <c r="C1184" t="s">
        <v>3378</v>
      </c>
      <c r="D1184">
        <v>2014</v>
      </c>
      <c r="E1184" t="s">
        <v>3379</v>
      </c>
      <c r="F1184" t="str">
        <f>HYPERLINK("https://www.szaktars.hu/harmattan/view/ter-retegek-tanulmanyok-a-21-szazad-terfordulatairol/", "https://www.szaktars.hu/harmattan/view/ter-retegek-tanulmanyok-a-21-szazad-terfordulatairol/")</f>
        <v>https://www.szaktars.hu/harmattan/view/ter-retegek-tanulmanyok-a-21-szazad-terfordulatairol/</v>
      </c>
    </row>
    <row r="1185" spans="1:6" x14ac:dyDescent="0.25">
      <c r="A1185" t="s">
        <v>3380</v>
      </c>
      <c r="B1185" t="s">
        <v>3381</v>
      </c>
      <c r="C1185" t="s">
        <v>3382</v>
      </c>
      <c r="D1185">
        <v>2002</v>
      </c>
      <c r="E1185" t="s">
        <v>3379</v>
      </c>
      <c r="F1185" t="str">
        <f>HYPERLINK("https://www.szaktars.hu/harmattan/view/a-kornyezetpszichologia-alapkerdesei-helyek-targyak-viselkedes/", "https://www.szaktars.hu/harmattan/view/a-kornyezetpszichologia-alapkerdesei-helyek-targyak-viselkedes/")</f>
        <v>https://www.szaktars.hu/harmattan/view/a-kornyezetpszichologia-alapkerdesei-helyek-targyak-viselkedes/</v>
      </c>
    </row>
    <row r="1186" spans="1:6" x14ac:dyDescent="0.25">
      <c r="A1186" t="s">
        <v>3383</v>
      </c>
      <c r="B1186" t="s">
        <v>2106</v>
      </c>
      <c r="C1186" t="s">
        <v>3384</v>
      </c>
      <c r="D1186">
        <v>2012</v>
      </c>
      <c r="E1186" t="s">
        <v>3379</v>
      </c>
      <c r="F1186" t="str">
        <f>HYPERLINK("https://www.szaktars.hu/harmattan/view/falu-a-varosban-az-angyalfoldi-oti-telep-dokumentumok-es-neprajzi-tanulmanyok/", "https://www.szaktars.hu/harmattan/view/falu-a-varosban-az-angyalfoldi-oti-telep-dokumentumok-es-neprajzi-tanulmanyok/")</f>
        <v>https://www.szaktars.hu/harmattan/view/falu-a-varosban-az-angyalfoldi-oti-telep-dokumentumok-es-neprajzi-tanulmanyok/</v>
      </c>
    </row>
    <row r="1187" spans="1:6" x14ac:dyDescent="0.25">
      <c r="A1187" t="s">
        <v>3385</v>
      </c>
      <c r="B1187" t="s">
        <v>2745</v>
      </c>
      <c r="C1187" t="s">
        <v>3386</v>
      </c>
      <c r="D1187">
        <v>2015</v>
      </c>
      <c r="E1187" t="s">
        <v>3379</v>
      </c>
      <c r="F1187" t="str">
        <f>HYPERLINK("https://www.szaktars.hu/harmattan/view/hely-identitas-emlekezet/", "https://www.szaktars.hu/harmattan/view/hely-identitas-emlekezet/")</f>
        <v>https://www.szaktars.hu/harmattan/view/hely-identitas-emlekezet/</v>
      </c>
    </row>
    <row r="1188" spans="1:6" x14ac:dyDescent="0.25">
      <c r="A1188" t="s">
        <v>3387</v>
      </c>
      <c r="B1188" t="s">
        <v>3388</v>
      </c>
      <c r="C1188" t="s">
        <v>3389</v>
      </c>
      <c r="D1188">
        <v>2016</v>
      </c>
      <c r="E1188" t="s">
        <v>3379</v>
      </c>
      <c r="F1188" t="str">
        <f>HYPERLINK("https://www.szaktars.hu/harmattan/view/foutcak-uzletutcak-megujulas-es-fejlesztes/", "https://www.szaktars.hu/harmattan/view/foutcak-uzletutcak-megujulas-es-fejlesztes/")</f>
        <v>https://www.szaktars.hu/harmattan/view/foutcak-uzletutcak-megujulas-es-fejlesztes/</v>
      </c>
    </row>
    <row r="1189" spans="1:6" x14ac:dyDescent="0.25">
      <c r="A1189" t="s">
        <v>3390</v>
      </c>
      <c r="B1189" t="s">
        <v>3391</v>
      </c>
      <c r="C1189" t="s">
        <v>3392</v>
      </c>
      <c r="D1189">
        <v>2014</v>
      </c>
      <c r="E1189" t="s">
        <v>3379</v>
      </c>
      <c r="F1189" t="str">
        <f>HYPERLINK("https://www.szaktars.hu/harmattan/view/a-magyar-epiteszet-mesterei/", "https://www.szaktars.hu/harmattan/view/a-magyar-epiteszet-mesterei/")</f>
        <v>https://www.szaktars.hu/harmattan/view/a-magyar-epiteszet-mesterei/</v>
      </c>
    </row>
    <row r="1190" spans="1:6" x14ac:dyDescent="0.25">
      <c r="A1190" t="s">
        <v>3393</v>
      </c>
      <c r="B1190" t="s">
        <v>3391</v>
      </c>
      <c r="C1190" t="s">
        <v>3394</v>
      </c>
      <c r="D1190">
        <v>2017</v>
      </c>
      <c r="E1190" t="s">
        <v>3379</v>
      </c>
      <c r="F1190" t="str">
        <f>HYPERLINK("https://www.szaktars.hu/harmattan/view/a-magyar-epiteszet-mesterei-masodik-javitott-kiadas/", "https://www.szaktars.hu/harmattan/view/a-magyar-epiteszet-mesterei-masodik-javitott-kiadas/")</f>
        <v>https://www.szaktars.hu/harmattan/view/a-magyar-epiteszet-mesterei-masodik-javitott-kiadas/</v>
      </c>
    </row>
    <row r="1191" spans="1:6" x14ac:dyDescent="0.25">
      <c r="A1191" t="s">
        <v>3395</v>
      </c>
      <c r="B1191" t="s">
        <v>3391</v>
      </c>
      <c r="C1191" t="s">
        <v>3396</v>
      </c>
      <c r="D1191">
        <v>2015</v>
      </c>
      <c r="E1191" t="s">
        <v>3379</v>
      </c>
      <c r="F1191" t="str">
        <f>HYPERLINK("https://www.szaktars.hu/harmattan/view/a-magyar-szobraszat-mesterei/", "https://www.szaktars.hu/harmattan/view/a-magyar-szobraszat-mesterei/")</f>
        <v>https://www.szaktars.hu/harmattan/view/a-magyar-szobraszat-mesterei/</v>
      </c>
    </row>
    <row r="1192" spans="1:6" x14ac:dyDescent="0.25">
      <c r="A1192" t="s">
        <v>3397</v>
      </c>
      <c r="B1192" t="s">
        <v>3398</v>
      </c>
      <c r="C1192" t="s">
        <v>3399</v>
      </c>
      <c r="D1192">
        <v>2015</v>
      </c>
      <c r="E1192" t="s">
        <v>3379</v>
      </c>
      <c r="F1192" t="str">
        <f>HYPERLINK("https://www.szaktars.hu/harmattan/view/ephemeral-architecture-in-central-eastern-europe-in-the-19th-and-20th-centuries/", "https://www.szaktars.hu/harmattan/view/ephemeral-architecture-in-central-eastern-europe-in-the-19th-and-20th-centuries/")</f>
        <v>https://www.szaktars.hu/harmattan/view/ephemeral-architecture-in-central-eastern-europe-in-the-19th-and-20th-centuries/</v>
      </c>
    </row>
    <row r="1193" spans="1:6" x14ac:dyDescent="0.25">
      <c r="A1193" t="s">
        <v>3400</v>
      </c>
      <c r="B1193" t="s">
        <v>3401</v>
      </c>
      <c r="C1193" t="s">
        <v>3402</v>
      </c>
      <c r="D1193">
        <v>2016</v>
      </c>
      <c r="E1193" t="s">
        <v>3379</v>
      </c>
      <c r="F1193" t="str">
        <f>HYPERLINK("https://www.szaktars.hu/harmattan/view/diverziv-epiteszet-ekler-dezso-epiteszete-esztetikai-perspektivabol/", "https://www.szaktars.hu/harmattan/view/diverziv-epiteszet-ekler-dezso-epiteszete-esztetikai-perspektivabol/")</f>
        <v>https://www.szaktars.hu/harmattan/view/diverziv-epiteszet-ekler-dezso-epiteszete-esztetikai-perspektivabol/</v>
      </c>
    </row>
    <row r="1194" spans="1:6" x14ac:dyDescent="0.25">
      <c r="A1194" t="s">
        <v>3403</v>
      </c>
      <c r="B1194" t="s">
        <v>3391</v>
      </c>
      <c r="C1194" t="s">
        <v>3404</v>
      </c>
      <c r="D1194">
        <v>2016</v>
      </c>
      <c r="E1194" t="s">
        <v>3379</v>
      </c>
      <c r="F1194" t="str">
        <f>HYPERLINK("https://www.szaktars.hu/harmattan/view/a-magyar-epiteszet-mesterei-ii/", "https://www.szaktars.hu/harmattan/view/a-magyar-epiteszet-mesterei-ii/")</f>
        <v>https://www.szaktars.hu/harmattan/view/a-magyar-epiteszet-mesterei-ii/</v>
      </c>
    </row>
    <row r="1195" spans="1:6" x14ac:dyDescent="0.25">
      <c r="A1195" t="s">
        <v>3405</v>
      </c>
      <c r="B1195" t="s">
        <v>3406</v>
      </c>
      <c r="C1195" t="s">
        <v>3407</v>
      </c>
      <c r="D1195">
        <v>2010</v>
      </c>
      <c r="E1195" t="s">
        <v>3408</v>
      </c>
      <c r="F1195" t="str">
        <f>HYPERLINK("https://www.szaktars.hu/harmattan/view/a-profetak-elete-zsido-szenteletrajzok-az-okorbol/", "https://www.szaktars.hu/harmattan/view/a-profetak-elete-zsido-szenteletrajzok-az-okorbol/")</f>
        <v>https://www.szaktars.hu/harmattan/view/a-profetak-elete-zsido-szenteletrajzok-az-okorbol/</v>
      </c>
    </row>
    <row r="1196" spans="1:6" x14ac:dyDescent="0.25">
      <c r="A1196" t="s">
        <v>3409</v>
      </c>
      <c r="B1196" t="s">
        <v>3410</v>
      </c>
      <c r="C1196" t="s">
        <v>3411</v>
      </c>
      <c r="D1196">
        <v>2008</v>
      </c>
      <c r="E1196" t="s">
        <v>3408</v>
      </c>
      <c r="F1196" t="str">
        <f>HYPERLINK("https://www.szaktars.hu/harmattan/view/alexandriai-philon-de-vita-contemplativa/", "https://www.szaktars.hu/harmattan/view/alexandriai-philon-de-vita-contemplativa/")</f>
        <v>https://www.szaktars.hu/harmattan/view/alexandriai-philon-de-vita-contemplativa/</v>
      </c>
    </row>
    <row r="1197" spans="1:6" x14ac:dyDescent="0.25">
      <c r="A1197" t="s">
        <v>3412</v>
      </c>
      <c r="B1197" t="s">
        <v>3410</v>
      </c>
      <c r="C1197" t="s">
        <v>3413</v>
      </c>
      <c r="D1197">
        <v>2011</v>
      </c>
      <c r="E1197" t="s">
        <v>3408</v>
      </c>
      <c r="F1197" t="str">
        <f>HYPERLINK("https://www.szaktars.hu/harmattan/view/job-testamentuma-bevezetes-forditas-jegyzetek/", "https://www.szaktars.hu/harmattan/view/job-testamentuma-bevezetes-forditas-jegyzetek/")</f>
        <v>https://www.szaktars.hu/harmattan/view/job-testamentuma-bevezetes-forditas-jegyzetek/</v>
      </c>
    </row>
    <row r="1198" spans="1:6" x14ac:dyDescent="0.25">
      <c r="A1198" t="s">
        <v>3414</v>
      </c>
      <c r="B1198" t="s">
        <v>3415</v>
      </c>
      <c r="C1198" t="s">
        <v>3416</v>
      </c>
      <c r="D1198">
        <v>2005</v>
      </c>
      <c r="E1198" t="s">
        <v>3408</v>
      </c>
      <c r="F1198" t="str">
        <f>HYPERLINK("https://www.szaktars.hu/harmattan/view/a-remeteelet-iskolajaban-valogatott-forrasok-es-tanulmanyok/", "https://www.szaktars.hu/harmattan/view/a-remeteelet-iskolajaban-valogatott-forrasok-es-tanulmanyok/")</f>
        <v>https://www.szaktars.hu/harmattan/view/a-remeteelet-iskolajaban-valogatott-forrasok-es-tanulmanyok/</v>
      </c>
    </row>
    <row r="1199" spans="1:6" x14ac:dyDescent="0.25">
      <c r="A1199" t="s">
        <v>3417</v>
      </c>
      <c r="B1199" t="s">
        <v>3418</v>
      </c>
      <c r="C1199" t="s">
        <v>3419</v>
      </c>
      <c r="D1199">
        <v>2006</v>
      </c>
      <c r="E1199" t="s">
        <v>3408</v>
      </c>
      <c r="F1199" t="str">
        <f>HYPERLINK("https://www.szaktars.hu/harmattan/view/evagriosz-pontikosz-a-gondolatokrol/", "https://www.szaktars.hu/harmattan/view/evagriosz-pontikosz-a-gondolatokrol/")</f>
        <v>https://www.szaktars.hu/harmattan/view/evagriosz-pontikosz-a-gondolatokrol/</v>
      </c>
    </row>
    <row r="1200" spans="1:6" x14ac:dyDescent="0.25">
      <c r="A1200" t="s">
        <v>3420</v>
      </c>
      <c r="B1200" t="s">
        <v>3421</v>
      </c>
      <c r="C1200" t="s">
        <v>3422</v>
      </c>
      <c r="D1200">
        <v>2014</v>
      </c>
      <c r="E1200" t="s">
        <v>3408</v>
      </c>
      <c r="F1200" t="str">
        <f>HYPERLINK("https://www.szaktars.hu/harmattan/view/a-hitvallastol-a-teologiai-megalapozasig-szoveggyujtemeny-a-teologiai-ismeretelmelet-tanulmanyozasahoz/", "https://www.szaktars.hu/harmattan/view/a-hitvallastol-a-teologiai-megalapozasig-szoveggyujtemeny-a-teologiai-ismeretelmelet-tanulmanyozasahoz/")</f>
        <v>https://www.szaktars.hu/harmattan/view/a-hitvallastol-a-teologiai-megalapozasig-szoveggyujtemeny-a-teologiai-ismeretelmelet-tanulmanyozasahoz/</v>
      </c>
    </row>
    <row r="1201" spans="1:6" x14ac:dyDescent="0.25">
      <c r="A1201" t="s">
        <v>3423</v>
      </c>
      <c r="B1201" t="s">
        <v>3424</v>
      </c>
      <c r="C1201" t="s">
        <v>3425</v>
      </c>
      <c r="D1201">
        <v>2008</v>
      </c>
      <c r="E1201" t="s">
        <v>3408</v>
      </c>
      <c r="F1201" t="str">
        <f>HYPERLINK("https://www.szaktars.hu/harmattan/view/harom-beszelgetes-moldvai-sztarecekkel/", "https://www.szaktars.hu/harmattan/view/harom-beszelgetes-moldvai-sztarecekkel/")</f>
        <v>https://www.szaktars.hu/harmattan/view/harom-beszelgetes-moldvai-sztarecekkel/</v>
      </c>
    </row>
    <row r="1202" spans="1:6" x14ac:dyDescent="0.25">
      <c r="A1202" t="s">
        <v>3426</v>
      </c>
      <c r="B1202" t="s">
        <v>3427</v>
      </c>
      <c r="C1202" t="s">
        <v>3428</v>
      </c>
      <c r="D1202">
        <v>2005</v>
      </c>
      <c r="E1202" t="s">
        <v>3408</v>
      </c>
      <c r="F1202" t="str">
        <f>HYPERLINK("https://www.szaktars.hu/harmattan/view/a-kereszteny-erkolcs-alapelvei/", "https://www.szaktars.hu/harmattan/view/a-kereszteny-erkolcs-alapelvei/")</f>
        <v>https://www.szaktars.hu/harmattan/view/a-kereszteny-erkolcs-alapelvei/</v>
      </c>
    </row>
    <row r="1203" spans="1:6" x14ac:dyDescent="0.25">
      <c r="A1203" t="s">
        <v>3429</v>
      </c>
      <c r="B1203" t="s">
        <v>3430</v>
      </c>
      <c r="C1203" t="s">
        <v>3431</v>
      </c>
      <c r="D1203">
        <v>2010</v>
      </c>
      <c r="E1203" t="s">
        <v>3408</v>
      </c>
      <c r="F1203" t="str">
        <f>HYPERLINK("https://www.szaktars.hu/harmattan/view/a-vallasi-tapasztalat-megertese-jog-bolcselet-teologia/", "https://www.szaktars.hu/harmattan/view/a-vallasi-tapasztalat-megertese-jog-bolcselet-teologia/")</f>
        <v>https://www.szaktars.hu/harmattan/view/a-vallasi-tapasztalat-megertese-jog-bolcselet-teologia/</v>
      </c>
    </row>
    <row r="1204" spans="1:6" x14ac:dyDescent="0.25">
      <c r="A1204" t="s">
        <v>3432</v>
      </c>
      <c r="B1204" t="s">
        <v>3433</v>
      </c>
      <c r="C1204" t="s">
        <v>3434</v>
      </c>
      <c r="D1204">
        <v>2011</v>
      </c>
      <c r="E1204" t="s">
        <v>3408</v>
      </c>
      <c r="F1204" t="str">
        <f>HYPERLINK("https://www.szaktars.hu/harmattan/view/vallas-haboru-vagy-beke/", "https://www.szaktars.hu/harmattan/view/vallas-haboru-vagy-beke/")</f>
        <v>https://www.szaktars.hu/harmattan/view/vallas-haboru-vagy-beke/</v>
      </c>
    </row>
    <row r="1205" spans="1:6" x14ac:dyDescent="0.25">
      <c r="A1205" t="s">
        <v>3435</v>
      </c>
      <c r="B1205" t="s">
        <v>3436</v>
      </c>
      <c r="C1205" t="s">
        <v>3437</v>
      </c>
      <c r="D1205">
        <v>2014</v>
      </c>
      <c r="E1205" t="s">
        <v>3408</v>
      </c>
      <c r="F1205" t="str">
        <f>HYPERLINK("https://www.szaktars.hu/harmattan/view/sisi-szemelyenek-teologiai-portreja/", "https://www.szaktars.hu/harmattan/view/sisi-szemelyenek-teologiai-portreja/")</f>
        <v>https://www.szaktars.hu/harmattan/view/sisi-szemelyenek-teologiai-portreja/</v>
      </c>
    </row>
    <row r="1206" spans="1:6" x14ac:dyDescent="0.25">
      <c r="A1206" t="s">
        <v>3438</v>
      </c>
      <c r="B1206" t="s">
        <v>3439</v>
      </c>
      <c r="C1206" t="s">
        <v>3440</v>
      </c>
      <c r="D1206">
        <v>2016</v>
      </c>
      <c r="E1206" t="s">
        <v>3408</v>
      </c>
      <c r="F1206" t="str">
        <f>HYPERLINK("https://www.szaktars.hu/harmattan/view/jezus-csodairol-szolo-elbeszelesek-mark-evangeliumaban/", "https://www.szaktars.hu/harmattan/view/jezus-csodairol-szolo-elbeszelesek-mark-evangeliumaban/")</f>
        <v>https://www.szaktars.hu/harmattan/view/jezus-csodairol-szolo-elbeszelesek-mark-evangeliumaban/</v>
      </c>
    </row>
    <row r="1207" spans="1:6" x14ac:dyDescent="0.25">
      <c r="A1207" t="s">
        <v>3441</v>
      </c>
      <c r="B1207" t="s">
        <v>3442</v>
      </c>
      <c r="C1207" t="s">
        <v>3443</v>
      </c>
      <c r="D1207">
        <v>2007</v>
      </c>
      <c r="E1207" t="s">
        <v>3408</v>
      </c>
      <c r="F1207" t="str">
        <f>HYPERLINK("https://www.szaktars.hu/harmattan/view/isten-gazdagsaga-a-keresztenyseg-szentharomsagi-istenkepe/", "https://www.szaktars.hu/harmattan/view/isten-gazdagsaga-a-keresztenyseg-szentharomsagi-istenkepe/")</f>
        <v>https://www.szaktars.hu/harmattan/view/isten-gazdagsaga-a-keresztenyseg-szentharomsagi-istenkepe/</v>
      </c>
    </row>
    <row r="1208" spans="1:6" x14ac:dyDescent="0.25">
      <c r="A1208" t="s">
        <v>3444</v>
      </c>
      <c r="B1208" t="s">
        <v>3445</v>
      </c>
      <c r="C1208" t="s">
        <v>3446</v>
      </c>
      <c r="D1208">
        <v>2015</v>
      </c>
      <c r="E1208" t="s">
        <v>3408</v>
      </c>
      <c r="F1208" t="str">
        <f>HYPERLINK("https://www.szaktars.hu/harmattan/view/teologia-a-szoszeken-es-a-katedran/", "https://www.szaktars.hu/harmattan/view/teologia-a-szoszeken-es-a-katedran/")</f>
        <v>https://www.szaktars.hu/harmattan/view/teologia-a-szoszeken-es-a-katedran/</v>
      </c>
    </row>
    <row r="1209" spans="1:6" x14ac:dyDescent="0.25">
      <c r="A1209" t="s">
        <v>3447</v>
      </c>
      <c r="B1209" t="s">
        <v>3448</v>
      </c>
      <c r="C1209" t="s">
        <v>129</v>
      </c>
      <c r="D1209">
        <v>2012</v>
      </c>
      <c r="E1209" t="s">
        <v>3408</v>
      </c>
      <c r="F1209" t="str">
        <f>HYPERLINK("https://www.szaktars.hu/harmattan/view/enekek-eneke-te-akit-a-szivem-szeret-eksztazis-es-kereses/", "https://www.szaktars.hu/harmattan/view/enekek-eneke-te-akit-a-szivem-szeret-eksztazis-es-kereses/")</f>
        <v>https://www.szaktars.hu/harmattan/view/enekek-eneke-te-akit-a-szivem-szeret-eksztazis-es-kereses/</v>
      </c>
    </row>
    <row r="1210" spans="1:6" x14ac:dyDescent="0.25">
      <c r="A1210" t="s">
        <v>3449</v>
      </c>
      <c r="B1210" t="s">
        <v>3450</v>
      </c>
      <c r="C1210" t="s">
        <v>3451</v>
      </c>
      <c r="D1210">
        <v>2007</v>
      </c>
      <c r="E1210" t="s">
        <v>3408</v>
      </c>
      <c r="F1210" t="str">
        <f>HYPERLINK("https://www.szaktars.hu/harmattan/view/hit-es-megertes-valogatott-tanulmanyok/", "https://www.szaktars.hu/harmattan/view/hit-es-megertes-valogatott-tanulmanyok/")</f>
        <v>https://www.szaktars.hu/harmattan/view/hit-es-megertes-valogatott-tanulmanyok/</v>
      </c>
    </row>
    <row r="1211" spans="1:6" x14ac:dyDescent="0.25">
      <c r="A1211" t="s">
        <v>3452</v>
      </c>
      <c r="B1211" t="s">
        <v>3453</v>
      </c>
      <c r="C1211" t="s">
        <v>3454</v>
      </c>
      <c r="D1211">
        <v>2011</v>
      </c>
      <c r="E1211" t="s">
        <v>3408</v>
      </c>
      <c r="F1211" t="str">
        <f>HYPERLINK("https://www.szaktars.hu/harmattan/view/engedelmesseg/", "https://www.szaktars.hu/harmattan/view/engedelmesseg/")</f>
        <v>https://www.szaktars.hu/harmattan/view/engedelmesseg/</v>
      </c>
    </row>
    <row r="1212" spans="1:6" x14ac:dyDescent="0.25">
      <c r="A1212" t="s">
        <v>3455</v>
      </c>
      <c r="B1212" t="s">
        <v>3456</v>
      </c>
      <c r="C1212" t="s">
        <v>3457</v>
      </c>
      <c r="D1212">
        <v>2012</v>
      </c>
      <c r="E1212" t="s">
        <v>3408</v>
      </c>
      <c r="F1212" t="str">
        <f>HYPERLINK("https://www.szaktars.hu/harmattan/view/szuzesseg/", "https://www.szaktars.hu/harmattan/view/szuzesseg/")</f>
        <v>https://www.szaktars.hu/harmattan/view/szuzesseg/</v>
      </c>
    </row>
    <row r="1213" spans="1:6" x14ac:dyDescent="0.25">
      <c r="A1213" t="s">
        <v>3458</v>
      </c>
      <c r="B1213" t="s">
        <v>3459</v>
      </c>
      <c r="C1213" t="s">
        <v>3460</v>
      </c>
      <c r="D1213">
        <v>2010</v>
      </c>
      <c r="E1213" t="s">
        <v>3408</v>
      </c>
      <c r="F1213" t="str">
        <f>HYPERLINK("https://www.szaktars.hu/harmattan/view/a-fiu-lelkulete-a-szerzeteskepzes-menete/", "https://www.szaktars.hu/harmattan/view/a-fiu-lelkulete-a-szerzeteskepzes-menete/")</f>
        <v>https://www.szaktars.hu/harmattan/view/a-fiu-lelkulete-a-szerzeteskepzes-menete/</v>
      </c>
    </row>
    <row r="1214" spans="1:6" x14ac:dyDescent="0.25">
      <c r="A1214" t="s">
        <v>3461</v>
      </c>
      <c r="B1214" t="s">
        <v>3462</v>
      </c>
      <c r="C1214" t="s">
        <v>3463</v>
      </c>
      <c r="D1214">
        <v>2010</v>
      </c>
      <c r="E1214" t="s">
        <v>3408</v>
      </c>
      <c r="F1214" t="str">
        <f>HYPERLINK("https://www.szaktars.hu/harmattan/view/hogyan-kovessem-valasz-jezus-hivasara/", "https://www.szaktars.hu/harmattan/view/hogyan-kovessem-valasz-jezus-hivasara/")</f>
        <v>https://www.szaktars.hu/harmattan/view/hogyan-kovessem-valasz-jezus-hivasara/</v>
      </c>
    </row>
    <row r="1215" spans="1:6" x14ac:dyDescent="0.25">
      <c r="A1215" t="s">
        <v>3464</v>
      </c>
      <c r="B1215" t="s">
        <v>3465</v>
      </c>
      <c r="C1215" t="s">
        <v>3466</v>
      </c>
      <c r="D1215">
        <v>2008</v>
      </c>
      <c r="E1215" t="s">
        <v>3408</v>
      </c>
      <c r="F1215" t="str">
        <f>HYPERLINK("https://www.szaktars.hu/harmattan/view/az-alazat-es-a-gog-fokairol-a-megteresrol/", "https://www.szaktars.hu/harmattan/view/az-alazat-es-a-gog-fokairol-a-megteresrol/")</f>
        <v>https://www.szaktars.hu/harmattan/view/az-alazat-es-a-gog-fokairol-a-megteresrol/</v>
      </c>
    </row>
    <row r="1216" spans="1:6" x14ac:dyDescent="0.25">
      <c r="A1216" t="s">
        <v>3467</v>
      </c>
      <c r="B1216" t="s">
        <v>3468</v>
      </c>
      <c r="C1216" t="s">
        <v>3469</v>
      </c>
      <c r="D1216">
        <v>2016</v>
      </c>
      <c r="E1216" t="s">
        <v>3408</v>
      </c>
      <c r="F1216" t="str">
        <f>HYPERLINK("https://www.szaktars.hu/harmattan/view/tukor-altal-tanulmanyok-a-nyelv-kultura-identitas-temakorebol/", "https://www.szaktars.hu/harmattan/view/tukor-altal-tanulmanyok-a-nyelv-kultura-identitas-temakorebol/")</f>
        <v>https://www.szaktars.hu/harmattan/view/tukor-altal-tanulmanyok-a-nyelv-kultura-identitas-temakorebol/</v>
      </c>
    </row>
    <row r="1217" spans="1:6" x14ac:dyDescent="0.25">
      <c r="A1217" t="s">
        <v>3470</v>
      </c>
      <c r="B1217" t="s">
        <v>3471</v>
      </c>
      <c r="C1217" t="s">
        <v>3472</v>
      </c>
      <c r="D1217">
        <v>2013</v>
      </c>
      <c r="E1217" t="s">
        <v>3408</v>
      </c>
      <c r="F1217" t="str">
        <f>HYPERLINK("https://www.szaktars.hu/harmattan/view/merre-tovabb-kantorkepzes-gondolatok-egy-konferencian-nagykoros-2012-oktober-5/", "https://www.szaktars.hu/harmattan/view/merre-tovabb-kantorkepzes-gondolatok-egy-konferencian-nagykoros-2012-oktober-5/")</f>
        <v>https://www.szaktars.hu/harmattan/view/merre-tovabb-kantorkepzes-gondolatok-egy-konferencian-nagykoros-2012-oktober-5/</v>
      </c>
    </row>
    <row r="1218" spans="1:6" x14ac:dyDescent="0.25">
      <c r="A1218" t="s">
        <v>3473</v>
      </c>
      <c r="B1218" t="s">
        <v>3474</v>
      </c>
      <c r="C1218" t="s">
        <v>3475</v>
      </c>
      <c r="D1218">
        <v>2011</v>
      </c>
      <c r="E1218" t="s">
        <v>3408</v>
      </c>
      <c r="F1218" t="str">
        <f>HYPERLINK("https://www.szaktars.hu/harmattan/view/kizoldulo-olajfa-hivatalos-megnyilatkozasok-a-zsido-kereszteny-parbeszedben/", "https://www.szaktars.hu/harmattan/view/kizoldulo-olajfa-hivatalos-megnyilatkozasok-a-zsido-kereszteny-parbeszedben/")</f>
        <v>https://www.szaktars.hu/harmattan/view/kizoldulo-olajfa-hivatalos-megnyilatkozasok-a-zsido-kereszteny-parbeszedben/</v>
      </c>
    </row>
    <row r="1219" spans="1:6" x14ac:dyDescent="0.25">
      <c r="A1219" t="s">
        <v>3476</v>
      </c>
      <c r="B1219" t="s">
        <v>3477</v>
      </c>
      <c r="C1219" t="s">
        <v>3478</v>
      </c>
      <c r="D1219">
        <v>2015</v>
      </c>
      <c r="E1219" t="s">
        <v>3408</v>
      </c>
      <c r="F1219" t="str">
        <f>HYPERLINK("https://www.szaktars.hu/harmattan/view/a-hit-erejevel-pedagogiai-tanulmanyok/", "https://www.szaktars.hu/harmattan/view/a-hit-erejevel-pedagogiai-tanulmanyok/")</f>
        <v>https://www.szaktars.hu/harmattan/view/a-hit-erejevel-pedagogiai-tanulmanyok/</v>
      </c>
    </row>
    <row r="1220" spans="1:6" x14ac:dyDescent="0.25">
      <c r="A1220" t="s">
        <v>3479</v>
      </c>
      <c r="B1220" t="s">
        <v>1655</v>
      </c>
      <c r="C1220" t="s">
        <v>3480</v>
      </c>
      <c r="D1220">
        <v>2016</v>
      </c>
      <c r="E1220" t="s">
        <v>3408</v>
      </c>
      <c r="F1220" t="str">
        <f>HYPERLINK("https://www.szaktars.hu/harmattan/view/the-king-james-bible-1611-2011-prehistory-and-afterlife/", "https://www.szaktars.hu/harmattan/view/the-king-james-bible-1611-2011-prehistory-and-afterlife/")</f>
        <v>https://www.szaktars.hu/harmattan/view/the-king-james-bible-1611-2011-prehistory-and-afterlife/</v>
      </c>
    </row>
    <row r="1221" spans="1:6" x14ac:dyDescent="0.25">
      <c r="A1221" t="s">
        <v>3481</v>
      </c>
      <c r="B1221" t="s">
        <v>1231</v>
      </c>
      <c r="C1221" t="s">
        <v>3482</v>
      </c>
      <c r="D1221">
        <v>2003</v>
      </c>
      <c r="E1221" t="s">
        <v>3408</v>
      </c>
      <c r="F1221" t="str">
        <f>HYPERLINK("https://www.szaktars.hu/harmattan/view/tudom-kinek-hittem-patrisztikus-tanulmanyok/", "https://www.szaktars.hu/harmattan/view/tudom-kinek-hittem-patrisztikus-tanulmanyok/")</f>
        <v>https://www.szaktars.hu/harmattan/view/tudom-kinek-hittem-patrisztikus-tanulmanyok/</v>
      </c>
    </row>
    <row r="1222" spans="1:6" x14ac:dyDescent="0.25">
      <c r="A1222" t="s">
        <v>3483</v>
      </c>
      <c r="B1222" t="s">
        <v>3484</v>
      </c>
      <c r="C1222" t="s">
        <v>3485</v>
      </c>
      <c r="D1222">
        <v>2011</v>
      </c>
      <c r="E1222" t="s">
        <v>3408</v>
      </c>
      <c r="F1222" t="str">
        <f>HYPERLINK("https://www.szaktars.hu/harmattan/view/a-katolikus-teologia-megalapozasa-bevezetes-a-teologiai-ismeretelmeletbe/", "https://www.szaktars.hu/harmattan/view/a-katolikus-teologia-megalapozasa-bevezetes-a-teologiai-ismeretelmeletbe/")</f>
        <v>https://www.szaktars.hu/harmattan/view/a-katolikus-teologia-megalapozasa-bevezetes-a-teologiai-ismeretelmeletbe/</v>
      </c>
    </row>
    <row r="1223" spans="1:6" x14ac:dyDescent="0.25">
      <c r="A1223" t="s">
        <v>3486</v>
      </c>
      <c r="B1223" t="s">
        <v>3487</v>
      </c>
      <c r="C1223" t="s">
        <v>3488</v>
      </c>
      <c r="D1223">
        <v>2012</v>
      </c>
      <c r="E1223" t="s">
        <v>3408</v>
      </c>
      <c r="F1223" t="str">
        <f>HYPERLINK("https://www.szaktars.hu/harmattan/view/jakab-az-ur-testvere-jakab-az-osgyulekezet-es-az-osegyhaz-kontextusaban/", "https://www.szaktars.hu/harmattan/view/jakab-az-ur-testvere-jakab-az-osgyulekezet-es-az-osegyhaz-kontextusaban/")</f>
        <v>https://www.szaktars.hu/harmattan/view/jakab-az-ur-testvere-jakab-az-osgyulekezet-es-az-osegyhaz-kontextusaban/</v>
      </c>
    </row>
    <row r="1224" spans="1:6" x14ac:dyDescent="0.25">
      <c r="A1224" t="s">
        <v>3489</v>
      </c>
      <c r="B1224" t="s">
        <v>3490</v>
      </c>
      <c r="C1224" t="s">
        <v>3491</v>
      </c>
      <c r="D1224">
        <v>2015</v>
      </c>
      <c r="E1224" t="s">
        <v>3408</v>
      </c>
      <c r="F1224" t="str">
        <f>HYPERLINK("https://www.szaktars.hu/harmattan/view/hiszek-hogy-megertsem-konferenciakotet/", "https://www.szaktars.hu/harmattan/view/hiszek-hogy-megertsem-konferenciakotet/")</f>
        <v>https://www.szaktars.hu/harmattan/view/hiszek-hogy-megertsem-konferenciakotet/</v>
      </c>
    </row>
    <row r="1225" spans="1:6" x14ac:dyDescent="0.25">
      <c r="A1225" t="s">
        <v>3492</v>
      </c>
      <c r="B1225" t="s">
        <v>3493</v>
      </c>
      <c r="C1225" t="s">
        <v>3494</v>
      </c>
      <c r="D1225">
        <v>2014</v>
      </c>
      <c r="E1225" t="s">
        <v>3408</v>
      </c>
      <c r="F1225" t="str">
        <f>HYPERLINK("https://www.szaktars.hu/harmattan/view/a-felfoghatatlan-titok-a-tortenelemben-karl-rahner-szentharomsagtana-a-mai-teologia-osszefuggeseben/", "https://www.szaktars.hu/harmattan/view/a-felfoghatatlan-titok-a-tortenelemben-karl-rahner-szentharomsagtana-a-mai-teologia-osszefuggeseben/")</f>
        <v>https://www.szaktars.hu/harmattan/view/a-felfoghatatlan-titok-a-tortenelemben-karl-rahner-szentharomsagtana-a-mai-teologia-osszefuggeseben/</v>
      </c>
    </row>
    <row r="1226" spans="1:6" x14ac:dyDescent="0.25">
      <c r="A1226" t="s">
        <v>3495</v>
      </c>
      <c r="B1226" t="s">
        <v>3493</v>
      </c>
      <c r="C1226" t="s">
        <v>3496</v>
      </c>
      <c r="D1226">
        <v>2016</v>
      </c>
      <c r="E1226" t="s">
        <v>3408</v>
      </c>
      <c r="F1226" t="str">
        <f>HYPERLINK("https://www.szaktars.hu/harmattan/view/isten-es-a-valosag-teologiai-kisesszek/", "https://www.szaktars.hu/harmattan/view/isten-es-a-valosag-teologiai-kisesszek/")</f>
        <v>https://www.szaktars.hu/harmattan/view/isten-es-a-valosag-teologiai-kisesszek/</v>
      </c>
    </row>
    <row r="1227" spans="1:6" x14ac:dyDescent="0.25">
      <c r="A1227" t="s">
        <v>3497</v>
      </c>
      <c r="B1227" t="s">
        <v>3498</v>
      </c>
      <c r="C1227" t="s">
        <v>3499</v>
      </c>
      <c r="D1227">
        <v>2014</v>
      </c>
      <c r="E1227" t="s">
        <v>3408</v>
      </c>
      <c r="F1227" t="str">
        <f>HYPERLINK("https://www.szaktars.hu/harmattan/view/protestans-egyhazertelmezes-a-reformacio-szazadaban-a-jelentosebb-egyhazi-rendtartasokban/", "https://www.szaktars.hu/harmattan/view/protestans-egyhazertelmezes-a-reformacio-szazadaban-a-jelentosebb-egyhazi-rendtartasokban/")</f>
        <v>https://www.szaktars.hu/harmattan/view/protestans-egyhazertelmezes-a-reformacio-szazadaban-a-jelentosebb-egyhazi-rendtartasokban/</v>
      </c>
    </row>
    <row r="1228" spans="1:6" x14ac:dyDescent="0.25">
      <c r="A1228" t="s">
        <v>3500</v>
      </c>
      <c r="B1228" t="s">
        <v>3501</v>
      </c>
      <c r="C1228" t="s">
        <v>3502</v>
      </c>
      <c r="D1228">
        <v>2016</v>
      </c>
      <c r="E1228" t="s">
        <v>3408</v>
      </c>
      <c r="F1228" t="str">
        <f>HYPERLINK("https://www.szaktars.hu/harmattan/view/szefer-haszidim-hasadok-konyve-kozma-emese-forditasaban-i-kotet/", "https://www.szaktars.hu/harmattan/view/szefer-haszidim-hasadok-konyve-kozma-emese-forditasaban-i-kotet/")</f>
        <v>https://www.szaktars.hu/harmattan/view/szefer-haszidim-hasadok-konyve-kozma-emese-forditasaban-i-kotet/</v>
      </c>
    </row>
    <row r="1229" spans="1:6" x14ac:dyDescent="0.25">
      <c r="A1229" t="s">
        <v>3503</v>
      </c>
      <c r="B1229" t="s">
        <v>3501</v>
      </c>
      <c r="C1229" t="s">
        <v>3504</v>
      </c>
      <c r="D1229">
        <v>2016</v>
      </c>
      <c r="E1229" t="s">
        <v>3408</v>
      </c>
      <c r="F1229" t="str">
        <f>HYPERLINK("https://www.szaktars.hu/harmattan/view/szefer-haszidim-haszidok-konyve-kozma-emese-forditasaban-ii-kotet/", "https://www.szaktars.hu/harmattan/view/szefer-haszidim-haszidok-konyve-kozma-emese-forditasaban-ii-kotet/")</f>
        <v>https://www.szaktars.hu/harmattan/view/szefer-haszidim-haszidok-konyve-kozma-emese-forditasaban-ii-kotet/</v>
      </c>
    </row>
    <row r="1230" spans="1:6" x14ac:dyDescent="0.25">
      <c r="A1230" t="s">
        <v>3505</v>
      </c>
      <c r="B1230" t="s">
        <v>3506</v>
      </c>
      <c r="C1230" t="s">
        <v>3507</v>
      </c>
      <c r="D1230">
        <v>2012</v>
      </c>
      <c r="E1230" t="s">
        <v>3408</v>
      </c>
      <c r="F1230" t="str">
        <f>HYPERLINK("https://www.szaktars.hu/harmattan/view/a-jelenlet-vonzasaban-szent-ambrus-izsakrol-es-a-lelekrol/", "https://www.szaktars.hu/harmattan/view/a-jelenlet-vonzasaban-szent-ambrus-izsakrol-es-a-lelekrol/")</f>
        <v>https://www.szaktars.hu/harmattan/view/a-jelenlet-vonzasaban-szent-ambrus-izsakrol-es-a-lelekrol/</v>
      </c>
    </row>
    <row r="1231" spans="1:6" x14ac:dyDescent="0.25">
      <c r="A1231" t="s">
        <v>3508</v>
      </c>
      <c r="B1231" t="s">
        <v>3509</v>
      </c>
      <c r="C1231" t="s">
        <v>3510</v>
      </c>
      <c r="D1231">
        <v>2006</v>
      </c>
      <c r="E1231" t="s">
        <v>3408</v>
      </c>
      <c r="F1231" t="str">
        <f>HYPERLINK("https://www.szaktars.hu/harmattan/view/karl-rahner-az-ember-isten-titkahoz-rendelt-leny/", "https://www.szaktars.hu/harmattan/view/karl-rahner-az-ember-isten-titkahoz-rendelt-leny/")</f>
        <v>https://www.szaktars.hu/harmattan/view/karl-rahner-az-ember-isten-titkahoz-rendelt-leny/</v>
      </c>
    </row>
    <row r="1232" spans="1:6" x14ac:dyDescent="0.25">
      <c r="A1232" t="s">
        <v>3511</v>
      </c>
      <c r="B1232" t="s">
        <v>3512</v>
      </c>
      <c r="C1232" t="s">
        <v>3513</v>
      </c>
      <c r="D1232">
        <v>2007</v>
      </c>
      <c r="E1232" t="s">
        <v>3408</v>
      </c>
      <c r="F1232" t="str">
        <f>HYPERLINK("https://www.szaktars.hu/harmattan/view/a-hit-megutkozteto-igazsaga-joseph-ratzinger-teologiajanak-korvonalai/", "https://www.szaktars.hu/harmattan/view/a-hit-megutkozteto-igazsaga-joseph-ratzinger-teologiajanak-korvonalai/")</f>
        <v>https://www.szaktars.hu/harmattan/view/a-hit-megutkozteto-igazsaga-joseph-ratzinger-teologiajanak-korvonalai/</v>
      </c>
    </row>
    <row r="1233" spans="1:6" x14ac:dyDescent="0.25">
      <c r="A1233" t="s">
        <v>3514</v>
      </c>
      <c r="B1233" t="s">
        <v>3515</v>
      </c>
      <c r="C1233" t="s">
        <v>3516</v>
      </c>
      <c r="D1233">
        <v>2011</v>
      </c>
      <c r="E1233" t="s">
        <v>3408</v>
      </c>
      <c r="F1233" t="str">
        <f>HYPERLINK("https://www.szaktars.hu/harmattan/view/aldozat-es-ima/", "https://www.szaktars.hu/harmattan/view/aldozat-es-ima/")</f>
        <v>https://www.szaktars.hu/harmattan/view/aldozat-es-ima/</v>
      </c>
    </row>
    <row r="1234" spans="1:6" x14ac:dyDescent="0.25">
      <c r="A1234" t="s">
        <v>3517</v>
      </c>
      <c r="B1234" t="s">
        <v>3518</v>
      </c>
      <c r="C1234" t="s">
        <v>3519</v>
      </c>
      <c r="D1234">
        <v>2015</v>
      </c>
      <c r="E1234" t="s">
        <v>3408</v>
      </c>
      <c r="F1234" t="str">
        <f>HYPERLINK("https://www.szaktars.hu/harmattan/view/vallastudomanyi-magasles/", "https://www.szaktars.hu/harmattan/view/vallastudomanyi-magasles/")</f>
        <v>https://www.szaktars.hu/harmattan/view/vallastudomanyi-magasles/</v>
      </c>
    </row>
    <row r="1235" spans="1:6" x14ac:dyDescent="0.25">
      <c r="A1235" t="s">
        <v>3520</v>
      </c>
      <c r="B1235" t="s">
        <v>3521</v>
      </c>
      <c r="C1235" t="s">
        <v>3522</v>
      </c>
      <c r="D1235">
        <v>2010</v>
      </c>
      <c r="E1235" t="s">
        <v>3408</v>
      </c>
      <c r="F1235" t="str">
        <f>HYPERLINK("https://www.szaktars.hu/harmattan/view/aquinoi-tamas-es-a-tomizmus-ma-thomas-aquinas-and-thomism-today/", "https://www.szaktars.hu/harmattan/view/aquinoi-tamas-es-a-tomizmus-ma-thomas-aquinas-and-thomism-today/")</f>
        <v>https://www.szaktars.hu/harmattan/view/aquinoi-tamas-es-a-tomizmus-ma-thomas-aquinas-and-thomism-today/</v>
      </c>
    </row>
    <row r="1236" spans="1:6" x14ac:dyDescent="0.25">
      <c r="A1236" t="s">
        <v>3523</v>
      </c>
      <c r="B1236" t="s">
        <v>3524</v>
      </c>
      <c r="C1236" t="s">
        <v>3525</v>
      </c>
      <c r="D1236">
        <v>2006</v>
      </c>
      <c r="E1236" t="s">
        <v>3408</v>
      </c>
      <c r="F1236" t="str">
        <f>HYPERLINK("https://www.szaktars.hu/harmattan/view/vallasfilozofia-es-vallastortenet/", "https://www.szaktars.hu/harmattan/view/vallasfilozofia-es-vallastortenet/")</f>
        <v>https://www.szaktars.hu/harmattan/view/vallasfilozofia-es-vallastortenet/</v>
      </c>
    </row>
    <row r="1237" spans="1:6" x14ac:dyDescent="0.25">
      <c r="A1237" t="s">
        <v>3526</v>
      </c>
      <c r="B1237" t="s">
        <v>3527</v>
      </c>
      <c r="C1237" t="s">
        <v>3528</v>
      </c>
      <c r="D1237">
        <v>2007</v>
      </c>
      <c r="E1237" t="s">
        <v>3408</v>
      </c>
      <c r="F1237" t="str">
        <f>HYPERLINK("https://www.szaktars.hu/harmattan/view/a-feltamadas-es-a-modern-ember-iv-ignatiosz-antiochiai-patriarcha-2-kiadas/", "https://www.szaktars.hu/harmattan/view/a-feltamadas-es-a-modern-ember-iv-ignatiosz-antiochiai-patriarcha-2-kiadas/")</f>
        <v>https://www.szaktars.hu/harmattan/view/a-feltamadas-es-a-modern-ember-iv-ignatiosz-antiochiai-patriarcha-2-kiadas/</v>
      </c>
    </row>
    <row r="1238" spans="1:6" x14ac:dyDescent="0.25">
      <c r="A1238" t="s">
        <v>3529</v>
      </c>
      <c r="B1238" t="s">
        <v>3530</v>
      </c>
      <c r="C1238" t="s">
        <v>3531</v>
      </c>
      <c r="D1238">
        <v>2010</v>
      </c>
      <c r="E1238" t="s">
        <v>3408</v>
      </c>
      <c r="F1238" t="str">
        <f>HYPERLINK("https://www.szaktars.hu/harmattan/view/az-oszovetseg-masik-fele/", "https://www.szaktars.hu/harmattan/view/az-oszovetseg-masik-fele/")</f>
        <v>https://www.szaktars.hu/harmattan/view/az-oszovetseg-masik-fele/</v>
      </c>
    </row>
    <row r="1239" spans="1:6" x14ac:dyDescent="0.25">
      <c r="A1239" t="s">
        <v>3532</v>
      </c>
      <c r="B1239" t="s">
        <v>3530</v>
      </c>
      <c r="C1239" t="s">
        <v>3533</v>
      </c>
      <c r="D1239">
        <v>2011</v>
      </c>
      <c r="E1239" t="s">
        <v>3408</v>
      </c>
      <c r="F1239" t="str">
        <f>HYPERLINK("https://www.szaktars.hu/harmattan/view/az-oszovetseg-regenye-sugarutak-es-zsakutcak-a-kutatastortenetben/", "https://www.szaktars.hu/harmattan/view/az-oszovetseg-regenye-sugarutak-es-zsakutcak-a-kutatastortenetben/")</f>
        <v>https://www.szaktars.hu/harmattan/view/az-oszovetseg-regenye-sugarutak-es-zsakutcak-a-kutatastortenetben/</v>
      </c>
    </row>
    <row r="1240" spans="1:6" x14ac:dyDescent="0.25">
      <c r="A1240" t="s">
        <v>3534</v>
      </c>
      <c r="B1240" t="s">
        <v>3535</v>
      </c>
      <c r="C1240" t="s">
        <v>3536</v>
      </c>
      <c r="D1240">
        <v>2007</v>
      </c>
      <c r="E1240" t="s">
        <v>3408</v>
      </c>
      <c r="F1240" t="str">
        <f>HYPERLINK("https://www.szaktars.hu/harmattan/view/gefangnisseelsorge-in-ungarn-historische-systemisch-pastoralpsychologische-und-theologische-perspektiven/", "https://www.szaktars.hu/harmattan/view/gefangnisseelsorge-in-ungarn-historische-systemisch-pastoralpsychologische-und-theologische-perspektiven/")</f>
        <v>https://www.szaktars.hu/harmattan/view/gefangnisseelsorge-in-ungarn-historische-systemisch-pastoralpsychologische-und-theologische-perspektiven/</v>
      </c>
    </row>
    <row r="1241" spans="1:6" x14ac:dyDescent="0.25">
      <c r="A1241" t="s">
        <v>3537</v>
      </c>
      <c r="B1241" t="s">
        <v>3538</v>
      </c>
      <c r="C1241" t="s">
        <v>3539</v>
      </c>
      <c r="D1241">
        <v>2007</v>
      </c>
      <c r="E1241" t="s">
        <v>3408</v>
      </c>
      <c r="F1241" t="str">
        <f>HYPERLINK("https://www.szaktars.hu/harmattan/view/a-szentharomsag-az-udvtortenet-eredendo-transzcendens-alapja/", "https://www.szaktars.hu/harmattan/view/a-szentharomsag-az-udvtortenet-eredendo-transzcendens-alapja/")</f>
        <v>https://www.szaktars.hu/harmattan/view/a-szentharomsag-az-udvtortenet-eredendo-transzcendens-alapja/</v>
      </c>
    </row>
    <row r="1242" spans="1:6" x14ac:dyDescent="0.25">
      <c r="A1242" t="s">
        <v>3540</v>
      </c>
      <c r="B1242" t="s">
        <v>3541</v>
      </c>
      <c r="C1242" t="s">
        <v>3542</v>
      </c>
      <c r="D1242">
        <v>2011</v>
      </c>
      <c r="E1242" t="s">
        <v>3408</v>
      </c>
      <c r="F1242" t="str">
        <f>HYPERLINK("https://www.szaktars.hu/harmattan/view/hogyan-dontsek/", "https://www.szaktars.hu/harmattan/view/hogyan-dontsek/")</f>
        <v>https://www.szaktars.hu/harmattan/view/hogyan-dontsek/</v>
      </c>
    </row>
    <row r="1243" spans="1:6" x14ac:dyDescent="0.25">
      <c r="A1243" t="s">
        <v>3543</v>
      </c>
      <c r="B1243" t="s">
        <v>3544</v>
      </c>
      <c r="C1243" t="s">
        <v>3545</v>
      </c>
      <c r="D1243">
        <v>2007</v>
      </c>
      <c r="E1243" t="s">
        <v>3408</v>
      </c>
      <c r="F1243" t="str">
        <f>HYPERLINK("https://www.szaktars.hu/harmattan/view/hegyi-beszed-a-hegyi-beszed-ertelmezese-a-nagyobb-igazsag-tukreben/", "https://www.szaktars.hu/harmattan/view/hegyi-beszed-a-hegyi-beszed-ertelmezese-a-nagyobb-igazsag-tukreben/")</f>
        <v>https://www.szaktars.hu/harmattan/view/hegyi-beszed-a-hegyi-beszed-ertelmezese-a-nagyobb-igazsag-tukreben/</v>
      </c>
    </row>
    <row r="1244" spans="1:6" x14ac:dyDescent="0.25">
      <c r="A1244" t="s">
        <v>3546</v>
      </c>
      <c r="B1244" t="s">
        <v>3547</v>
      </c>
      <c r="C1244" t="s">
        <v>3548</v>
      </c>
      <c r="D1244">
        <v>2009</v>
      </c>
      <c r="E1244" t="s">
        <v>3408</v>
      </c>
      <c r="F1244" t="str">
        <f>HYPERLINK("https://www.szaktars.hu/harmattan/view/calvinism-on-the-peripheries-religion-and-civil-society-in-europe/", "https://www.szaktars.hu/harmattan/view/calvinism-on-the-peripheries-religion-and-civil-society-in-europe/")</f>
        <v>https://www.szaktars.hu/harmattan/view/calvinism-on-the-peripheries-religion-and-civil-society-in-europe/</v>
      </c>
    </row>
    <row r="1245" spans="1:6" x14ac:dyDescent="0.25">
      <c r="A1245" t="s">
        <v>3549</v>
      </c>
      <c r="B1245" t="s">
        <v>3547</v>
      </c>
      <c r="C1245" t="s">
        <v>3550</v>
      </c>
      <c r="D1245">
        <v>2010</v>
      </c>
      <c r="E1245" t="s">
        <v>3408</v>
      </c>
      <c r="F1245" t="str">
        <f>HYPERLINK("https://www.szaktars.hu/harmattan/view/hitvedelem-es-egyhaziassag-a-debreceni-uj-ortodoxia-vitaja-a-liberalis-teologiaval/", "https://www.szaktars.hu/harmattan/view/hitvedelem-es-egyhaziassag-a-debreceni-uj-ortodoxia-vitaja-a-liberalis-teologiaval/")</f>
        <v>https://www.szaktars.hu/harmattan/view/hitvedelem-es-egyhaziassag-a-debreceni-uj-ortodoxia-vitaja-a-liberalis-teologiaval/</v>
      </c>
    </row>
    <row r="1246" spans="1:6" x14ac:dyDescent="0.25">
      <c r="A1246" t="s">
        <v>3551</v>
      </c>
      <c r="B1246" t="s">
        <v>3547</v>
      </c>
      <c r="C1246" t="s">
        <v>3552</v>
      </c>
      <c r="D1246">
        <v>2016</v>
      </c>
      <c r="E1246" t="s">
        <v>3408</v>
      </c>
      <c r="F1246" t="str">
        <f>HYPERLINK("https://www.szaktars.hu/harmattan/view/nemzetkozi-kalvinizmus-europa-periferiain-magyar-es-skot-protestans-kapcsolatok-a-19-szazadban/", "https://www.szaktars.hu/harmattan/view/nemzetkozi-kalvinizmus-europa-periferiain-magyar-es-skot-protestans-kapcsolatok-a-19-szazadban/")</f>
        <v>https://www.szaktars.hu/harmattan/view/nemzetkozi-kalvinizmus-europa-periferiain-magyar-es-skot-protestans-kapcsolatok-a-19-szazadban/</v>
      </c>
    </row>
    <row r="1247" spans="1:6" x14ac:dyDescent="0.25">
      <c r="A1247" t="s">
        <v>3553</v>
      </c>
      <c r="B1247" t="s">
        <v>3554</v>
      </c>
      <c r="C1247" t="s">
        <v>3555</v>
      </c>
      <c r="D1247">
        <v>2015</v>
      </c>
      <c r="E1247" t="s">
        <v>3408</v>
      </c>
      <c r="F1247" t="str">
        <f>HYPERLINK("https://www.szaktars.hu/harmattan/view/new-trends-and-recurring-issues-in-the-study-of-religion/", "https://www.szaktars.hu/harmattan/view/new-trends-and-recurring-issues-in-the-study-of-religion/")</f>
        <v>https://www.szaktars.hu/harmattan/view/new-trends-and-recurring-issues-in-the-study-of-religion/</v>
      </c>
    </row>
    <row r="1248" spans="1:6" x14ac:dyDescent="0.25">
      <c r="A1248" t="s">
        <v>3556</v>
      </c>
      <c r="B1248" t="s">
        <v>3557</v>
      </c>
      <c r="C1248" t="s">
        <v>3558</v>
      </c>
      <c r="D1248">
        <v>2014</v>
      </c>
      <c r="E1248" t="s">
        <v>3408</v>
      </c>
      <c r="F1248" t="str">
        <f>HYPERLINK("https://www.szaktars.hu/harmattan/view/fold-alatti-izrael-az-oszovetseg-vilaganak-anyagi-kulturaja/", "https://www.szaktars.hu/harmattan/view/fold-alatti-izrael-az-oszovetseg-vilaganak-anyagi-kulturaja/")</f>
        <v>https://www.szaktars.hu/harmattan/view/fold-alatti-izrael-az-oszovetseg-vilaganak-anyagi-kulturaja/</v>
      </c>
    </row>
    <row r="1249" spans="1:6" x14ac:dyDescent="0.25">
      <c r="A1249" t="s">
        <v>3559</v>
      </c>
      <c r="B1249" t="s">
        <v>3560</v>
      </c>
      <c r="C1249" t="s">
        <v>3561</v>
      </c>
      <c r="D1249">
        <v>2014</v>
      </c>
      <c r="E1249" t="s">
        <v>3408</v>
      </c>
      <c r="F1249" t="str">
        <f>HYPERLINK("https://www.szaktars.hu/harmattan/view/vers-une-ecclesiologie-de-la-tolerantia-recherche-sur-saint-augustin/", "https://www.szaktars.hu/harmattan/view/vers-une-ecclesiologie-de-la-tolerantia-recherche-sur-saint-augustin/")</f>
        <v>https://www.szaktars.hu/harmattan/view/vers-une-ecclesiologie-de-la-tolerantia-recherche-sur-saint-augustin/</v>
      </c>
    </row>
    <row r="1250" spans="1:6" x14ac:dyDescent="0.25">
      <c r="A1250" t="s">
        <v>3562</v>
      </c>
      <c r="B1250" t="s">
        <v>3563</v>
      </c>
      <c r="C1250" t="s">
        <v>3564</v>
      </c>
      <c r="D1250">
        <v>2004</v>
      </c>
      <c r="E1250" t="s">
        <v>3408</v>
      </c>
      <c r="F1250" t="str">
        <f>HYPERLINK("https://www.szaktars.hu/harmattan/view/vita-es-parbeszed-a-monoteista-hagyomany-torteneti-perspektivaban/", "https://www.szaktars.hu/harmattan/view/vita-es-parbeszed-a-monoteista-hagyomany-torteneti-perspektivaban/")</f>
        <v>https://www.szaktars.hu/harmattan/view/vita-es-parbeszed-a-monoteista-hagyomany-torteneti-perspektivaban/</v>
      </c>
    </row>
    <row r="1251" spans="1:6" x14ac:dyDescent="0.25">
      <c r="A1251" t="s">
        <v>3565</v>
      </c>
      <c r="B1251" t="s">
        <v>3566</v>
      </c>
      <c r="C1251" t="s">
        <v>3567</v>
      </c>
      <c r="D1251">
        <v>2006</v>
      </c>
      <c r="E1251" t="s">
        <v>3408</v>
      </c>
      <c r="F1251" t="str">
        <f>HYPERLINK("https://www.szaktars.hu/harmattan/view/keresztut-a-kolosszeumban/", "https://www.szaktars.hu/harmattan/view/keresztut-a-kolosszeumban/")</f>
        <v>https://www.szaktars.hu/harmattan/view/keresztut-a-kolosszeumban/</v>
      </c>
    </row>
    <row r="1252" spans="1:6" x14ac:dyDescent="0.25">
      <c r="A1252" t="s">
        <v>3568</v>
      </c>
      <c r="B1252" t="s">
        <v>3569</v>
      </c>
      <c r="C1252" t="s">
        <v>3570</v>
      </c>
      <c r="D1252">
        <v>2016</v>
      </c>
      <c r="E1252" t="s">
        <v>3408</v>
      </c>
      <c r="F1252" t="str">
        <f>HYPERLINK("https://www.szaktars.hu/harmattan/view/a-bolcsesseg-utja-tanulmanyok-a-bolcsesseg-konyverol/", "https://www.szaktars.hu/harmattan/view/a-bolcsesseg-utja-tanulmanyok-a-bolcsesseg-konyverol/")</f>
        <v>https://www.szaktars.hu/harmattan/view/a-bolcsesseg-utja-tanulmanyok-a-bolcsesseg-konyverol/</v>
      </c>
    </row>
    <row r="1253" spans="1:6" x14ac:dyDescent="0.25">
      <c r="A1253" t="s">
        <v>3571</v>
      </c>
      <c r="B1253" t="s">
        <v>3572</v>
      </c>
      <c r="C1253" t="s">
        <v>3573</v>
      </c>
      <c r="D1253">
        <v>2013</v>
      </c>
      <c r="E1253" t="s">
        <v>3408</v>
      </c>
      <c r="F1253" t="str">
        <f>HYPERLINK("https://www.szaktars.hu/harmattan/view/jezsuita-kepzes-a-rendalkotmanyban/", "https://www.szaktars.hu/harmattan/view/jezsuita-kepzes-a-rendalkotmanyban/")</f>
        <v>https://www.szaktars.hu/harmattan/view/jezsuita-kepzes-a-rendalkotmanyban/</v>
      </c>
    </row>
    <row r="1254" spans="1:6" x14ac:dyDescent="0.25">
      <c r="A1254" t="s">
        <v>3574</v>
      </c>
      <c r="B1254" t="s">
        <v>3575</v>
      </c>
      <c r="C1254" t="s">
        <v>3576</v>
      </c>
      <c r="D1254">
        <v>2016</v>
      </c>
      <c r="E1254" t="s">
        <v>3408</v>
      </c>
      <c r="F1254" t="str">
        <f>HYPERLINK("https://www.szaktars.hu/harmattan/view/a-sapientia-szerzetesi-hittudomanyi-foiskola-bibliatudomany-tanszekenek-kiadvanyai/", "https://www.szaktars.hu/harmattan/view/a-sapientia-szerzetesi-hittudomanyi-foiskola-bibliatudomany-tanszekenek-kiadvanyai/")</f>
        <v>https://www.szaktars.hu/harmattan/view/a-sapientia-szerzetesi-hittudomanyi-foiskola-bibliatudomany-tanszekenek-kiadvanyai/</v>
      </c>
    </row>
    <row r="1255" spans="1:6" x14ac:dyDescent="0.25">
      <c r="A1255" t="s">
        <v>3577</v>
      </c>
      <c r="B1255" t="s">
        <v>3575</v>
      </c>
      <c r="C1255" t="s">
        <v>3578</v>
      </c>
      <c r="D1255">
        <v>2013</v>
      </c>
      <c r="E1255" t="s">
        <v>3408</v>
      </c>
      <c r="F1255" t="str">
        <f>HYPERLINK("https://www.szaktars.hu/harmattan/view/bibliai-szovegek-ertelmezese-a-zsido-es-kereszteny-hagyomanyokban/", "https://www.szaktars.hu/harmattan/view/bibliai-szovegek-ertelmezese-a-zsido-es-kereszteny-hagyomanyokban/")</f>
        <v>https://www.szaktars.hu/harmattan/view/bibliai-szovegek-ertelmezese-a-zsido-es-kereszteny-hagyomanyokban/</v>
      </c>
    </row>
    <row r="1256" spans="1:6" x14ac:dyDescent="0.25">
      <c r="A1256" t="s">
        <v>3579</v>
      </c>
      <c r="B1256" t="s">
        <v>3580</v>
      </c>
      <c r="C1256" t="s">
        <v>3581</v>
      </c>
      <c r="D1256">
        <v>2012</v>
      </c>
      <c r="E1256" t="s">
        <v>3408</v>
      </c>
      <c r="F1256" t="str">
        <f>HYPERLINK("https://www.szaktars.hu/harmattan/view/misztikus-malom-zsoltaridezetek-a-pali-levelekben/", "https://www.szaktars.hu/harmattan/view/misztikus-malom-zsoltaridezetek-a-pali-levelekben/")</f>
        <v>https://www.szaktars.hu/harmattan/view/misztikus-malom-zsoltaridezetek-a-pali-levelekben/</v>
      </c>
    </row>
    <row r="1257" spans="1:6" x14ac:dyDescent="0.25">
      <c r="A1257" t="s">
        <v>3582</v>
      </c>
      <c r="B1257" t="s">
        <v>3583</v>
      </c>
      <c r="C1257" t="s">
        <v>3584</v>
      </c>
      <c r="D1257">
        <v>2011</v>
      </c>
      <c r="E1257" t="s">
        <v>3408</v>
      </c>
      <c r="F1257" t="str">
        <f>HYPERLINK("https://www.szaktars.hu/harmattan/view/alternativ-vallas-szcientologia-magyarorszagon/", "https://www.szaktars.hu/harmattan/view/alternativ-vallas-szcientologia-magyarorszagon/")</f>
        <v>https://www.szaktars.hu/harmattan/view/alternativ-vallas-szcientologia-magyarorszagon/</v>
      </c>
    </row>
    <row r="1258" spans="1:6" x14ac:dyDescent="0.25">
      <c r="A1258" t="s">
        <v>3585</v>
      </c>
      <c r="B1258" t="s">
        <v>3586</v>
      </c>
      <c r="C1258" t="s">
        <v>3587</v>
      </c>
      <c r="D1258">
        <v>2013</v>
      </c>
      <c r="E1258" t="s">
        <v>3408</v>
      </c>
      <c r="F1258" t="str">
        <f>HYPERLINK("https://www.szaktars.hu/harmattan/view/vallasi-kommunikacio-es-vallasi-diskurzus/", "https://www.szaktars.hu/harmattan/view/vallasi-kommunikacio-es-vallasi-diskurzus/")</f>
        <v>https://www.szaktars.hu/harmattan/view/vallasi-kommunikacio-es-vallasi-diskurzus/</v>
      </c>
    </row>
    <row r="1259" spans="1:6" x14ac:dyDescent="0.25">
      <c r="A1259" t="s">
        <v>3588</v>
      </c>
      <c r="B1259" t="s">
        <v>3589</v>
      </c>
      <c r="C1259" t="s">
        <v>3590</v>
      </c>
      <c r="D1259">
        <v>2015</v>
      </c>
      <c r="E1259" t="s">
        <v>3408</v>
      </c>
      <c r="F1259" t="str">
        <f>HYPERLINK("https://www.szaktars.hu/harmattan/view/az-udvosseg-szentsege-bevezetes-az-eucharisztikus-egyhaztanba/", "https://www.szaktars.hu/harmattan/view/az-udvosseg-szentsege-bevezetes-az-eucharisztikus-egyhaztanba/")</f>
        <v>https://www.szaktars.hu/harmattan/view/az-udvosseg-szentsege-bevezetes-az-eucharisztikus-egyhaztanba/</v>
      </c>
    </row>
    <row r="1260" spans="1:6" x14ac:dyDescent="0.25">
      <c r="A1260" t="s">
        <v>3591</v>
      </c>
      <c r="B1260" t="s">
        <v>3592</v>
      </c>
      <c r="C1260" t="s">
        <v>3593</v>
      </c>
      <c r="D1260">
        <v>2004</v>
      </c>
      <c r="E1260" t="s">
        <v>3408</v>
      </c>
      <c r="F1260" t="str">
        <f>HYPERLINK("https://www.szaktars.hu/harmattan/view/az-uj-politikai-teologia-alapkerdesei/", "https://www.szaktars.hu/harmattan/view/az-uj-politikai-teologia-alapkerdesei/")</f>
        <v>https://www.szaktars.hu/harmattan/view/az-uj-politikai-teologia-alapkerdesei/</v>
      </c>
    </row>
    <row r="1261" spans="1:6" x14ac:dyDescent="0.25">
      <c r="A1261" t="s">
        <v>3594</v>
      </c>
      <c r="B1261" t="s">
        <v>3595</v>
      </c>
      <c r="C1261" t="s">
        <v>3596</v>
      </c>
      <c r="D1261">
        <v>2007</v>
      </c>
      <c r="E1261" t="s">
        <v>3408</v>
      </c>
      <c r="F1261" t="str">
        <f>HYPERLINK("https://www.szaktars.hu/harmattan/view/adj-aldast-atya-talalkozasok-huszadik-szazadi-gorog-ortodox-atyakkal/", "https://www.szaktars.hu/harmattan/view/adj-aldast-atya-talalkozasok-huszadik-szazadi-gorog-ortodox-atyakkal/")</f>
        <v>https://www.szaktars.hu/harmattan/view/adj-aldast-atya-talalkozasok-huszadik-szazadi-gorog-ortodox-atyakkal/</v>
      </c>
    </row>
    <row r="1262" spans="1:6" x14ac:dyDescent="0.25">
      <c r="A1262" t="s">
        <v>3597</v>
      </c>
      <c r="B1262" t="s">
        <v>3595</v>
      </c>
      <c r="C1262" t="s">
        <v>3598</v>
      </c>
      <c r="D1262">
        <v>2009</v>
      </c>
      <c r="E1262" t="s">
        <v>3408</v>
      </c>
      <c r="F1262" t="str">
        <f>HYPERLINK("https://www.szaktars.hu/harmattan/view/fragmenta-christiana/", "https://www.szaktars.hu/harmattan/view/fragmenta-christiana/")</f>
        <v>https://www.szaktars.hu/harmattan/view/fragmenta-christiana/</v>
      </c>
    </row>
    <row r="1263" spans="1:6" x14ac:dyDescent="0.25">
      <c r="A1263" t="s">
        <v>3599</v>
      </c>
      <c r="B1263" t="s">
        <v>3600</v>
      </c>
      <c r="C1263" t="s">
        <v>3601</v>
      </c>
      <c r="D1263">
        <v>2011</v>
      </c>
      <c r="E1263" t="s">
        <v>3408</v>
      </c>
      <c r="F1263" t="str">
        <f>HYPERLINK("https://www.szaktars.hu/harmattan/view/a-vallasi-parbeszed-a-vallasok-szemszogebol/", "https://www.szaktars.hu/harmattan/view/a-vallasi-parbeszed-a-vallasok-szemszogebol/")</f>
        <v>https://www.szaktars.hu/harmattan/view/a-vallasi-parbeszed-a-vallasok-szemszogebol/</v>
      </c>
    </row>
    <row r="1264" spans="1:6" x14ac:dyDescent="0.25">
      <c r="A1264" t="s">
        <v>3602</v>
      </c>
      <c r="B1264" t="s">
        <v>3600</v>
      </c>
      <c r="C1264" t="s">
        <v>3603</v>
      </c>
      <c r="D1264">
        <v>2009</v>
      </c>
      <c r="E1264" t="s">
        <v>3408</v>
      </c>
      <c r="F1264" t="str">
        <f>HYPERLINK("https://www.szaktars.hu/harmattan/view/az-okumenikus-es-vallaskozi-parbeszed-utja-hivatalos-egyhazi-megnyilatkozasok/", "https://www.szaktars.hu/harmattan/view/az-okumenikus-es-vallaskozi-parbeszed-utja-hivatalos-egyhazi-megnyilatkozasok/")</f>
        <v>https://www.szaktars.hu/harmattan/view/az-okumenikus-es-vallaskozi-parbeszed-utja-hivatalos-egyhazi-megnyilatkozasok/</v>
      </c>
    </row>
    <row r="1265" spans="1:6" x14ac:dyDescent="0.25">
      <c r="A1265" t="s">
        <v>3604</v>
      </c>
      <c r="B1265" t="s">
        <v>3605</v>
      </c>
      <c r="C1265" t="s">
        <v>3606</v>
      </c>
      <c r="D1265">
        <v>2012</v>
      </c>
      <c r="E1265" t="s">
        <v>3408</v>
      </c>
      <c r="F1265" t="str">
        <f>HYPERLINK("https://www.szaktars.hu/harmattan/view/tekintettel-vallaskozi-segedkonyv/", "https://www.szaktars.hu/harmattan/view/tekintettel-vallaskozi-segedkonyv/")</f>
        <v>https://www.szaktars.hu/harmattan/view/tekintettel-vallaskozi-segedkonyv/</v>
      </c>
    </row>
    <row r="1266" spans="1:6" x14ac:dyDescent="0.25">
      <c r="A1266" t="s">
        <v>3607</v>
      </c>
      <c r="B1266" t="s">
        <v>3608</v>
      </c>
      <c r="C1266" t="s">
        <v>3609</v>
      </c>
      <c r="D1266">
        <v>2013</v>
      </c>
      <c r="E1266" t="s">
        <v>3408</v>
      </c>
      <c r="F1266" t="str">
        <f>HYPERLINK("https://www.szaktars.hu/harmattan/view/parbeszedtukor-a-vallaskozi-talalkozasok-modszertana/", "https://www.szaktars.hu/harmattan/view/parbeszedtukor-a-vallaskozi-talalkozasok-modszertana/")</f>
        <v>https://www.szaktars.hu/harmattan/view/parbeszedtukor-a-vallaskozi-talalkozasok-modszertana/</v>
      </c>
    </row>
    <row r="1267" spans="1:6" x14ac:dyDescent="0.25">
      <c r="A1267" t="s">
        <v>3610</v>
      </c>
      <c r="B1267" t="s">
        <v>3611</v>
      </c>
      <c r="C1267" t="s">
        <v>3612</v>
      </c>
      <c r="D1267" t="s">
        <v>149</v>
      </c>
      <c r="E1267" t="s">
        <v>3408</v>
      </c>
      <c r="F1267" t="str">
        <f>HYPERLINK("https://www.szaktars.hu/harmattan/view/megesett-rajtuk-a-szive-a-jezus-szive-tisztelet-alapjai-a-szentirasban/", "https://www.szaktars.hu/harmattan/view/megesett-rajtuk-a-szive-a-jezus-szive-tisztelet-alapjai-a-szentirasban/")</f>
        <v>https://www.szaktars.hu/harmattan/view/megesett-rajtuk-a-szive-a-jezus-szive-tisztelet-alapjai-a-szentirasban/</v>
      </c>
    </row>
    <row r="1268" spans="1:6" x14ac:dyDescent="0.25">
      <c r="A1268" t="s">
        <v>3613</v>
      </c>
      <c r="B1268" t="s">
        <v>3614</v>
      </c>
      <c r="C1268" t="s">
        <v>3615</v>
      </c>
      <c r="D1268">
        <v>2012</v>
      </c>
      <c r="E1268" t="s">
        <v>3408</v>
      </c>
      <c r="F1268" t="str">
        <f>HYPERLINK("https://www.szaktars.hu/harmattan/view/pasztoralantropologia-i/", "https://www.szaktars.hu/harmattan/view/pasztoralantropologia-i/")</f>
        <v>https://www.szaktars.hu/harmattan/view/pasztoralantropologia-i/</v>
      </c>
    </row>
    <row r="1269" spans="1:6" x14ac:dyDescent="0.25">
      <c r="A1269" t="s">
        <v>3616</v>
      </c>
      <c r="B1269" t="s">
        <v>3617</v>
      </c>
      <c r="C1269" t="s">
        <v>3618</v>
      </c>
      <c r="D1269">
        <v>2013</v>
      </c>
      <c r="E1269" t="s">
        <v>3408</v>
      </c>
      <c r="F1269" t="str">
        <f>HYPERLINK("https://www.szaktars.hu/harmattan/view/a-katolikus-egyhaz-biztonsagi-helyzete-a-huszonegyedik-szazadban/", "https://www.szaktars.hu/harmattan/view/a-katolikus-egyhaz-biztonsagi-helyzete-a-huszonegyedik-szazadban/")</f>
        <v>https://www.szaktars.hu/harmattan/view/a-katolikus-egyhaz-biztonsagi-helyzete-a-huszonegyedik-szazadban/</v>
      </c>
    </row>
    <row r="1270" spans="1:6" x14ac:dyDescent="0.25">
      <c r="A1270" t="s">
        <v>3619</v>
      </c>
      <c r="B1270" t="s">
        <v>3620</v>
      </c>
      <c r="C1270" t="s">
        <v>3621</v>
      </c>
      <c r="D1270">
        <v>2012</v>
      </c>
      <c r="E1270" t="s">
        <v>3408</v>
      </c>
      <c r="F1270" t="str">
        <f>HYPERLINK("https://www.szaktars.hu/harmattan/view/egyhazi-intezmenyek-jogi-szabalyozasa/", "https://www.szaktars.hu/harmattan/view/egyhazi-intezmenyek-jogi-szabalyozasa/")</f>
        <v>https://www.szaktars.hu/harmattan/view/egyhazi-intezmenyek-jogi-szabalyozasa/</v>
      </c>
    </row>
    <row r="1271" spans="1:6" x14ac:dyDescent="0.25">
      <c r="A1271" t="s">
        <v>3622</v>
      </c>
      <c r="B1271" t="s">
        <v>3623</v>
      </c>
      <c r="C1271" t="s">
        <v>3624</v>
      </c>
      <c r="D1271">
        <v>2009</v>
      </c>
      <c r="E1271" t="s">
        <v>3408</v>
      </c>
      <c r="F1271" t="str">
        <f>HYPERLINK("https://www.szaktars.hu/harmattan/view/idegen-meltosag-preimplantacios-genetikai-diagnosztika-es-az-emberi-meltosag-elve-a-teologia-kontextusaban/", "https://www.szaktars.hu/harmattan/view/idegen-meltosag-preimplantacios-genetikai-diagnosztika-es-az-emberi-meltosag-elve-a-teologia-kontextusaban/")</f>
        <v>https://www.szaktars.hu/harmattan/view/idegen-meltosag-preimplantacios-genetikai-diagnosztika-es-az-emberi-meltosag-elve-a-teologia-kontextusaban/</v>
      </c>
    </row>
    <row r="1272" spans="1:6" x14ac:dyDescent="0.25">
      <c r="A1272" t="s">
        <v>3625</v>
      </c>
      <c r="B1272" t="s">
        <v>3626</v>
      </c>
      <c r="C1272" t="s">
        <v>3627</v>
      </c>
      <c r="D1272">
        <v>2015</v>
      </c>
      <c r="E1272" t="s">
        <v>3408</v>
      </c>
      <c r="F1272" t="str">
        <f>HYPERLINK("https://www.szaktars.hu/harmattan/view/isten-szava-minden-napra/", "https://www.szaktars.hu/harmattan/view/isten-szava-minden-napra/")</f>
        <v>https://www.szaktars.hu/harmattan/view/isten-szava-minden-napra/</v>
      </c>
    </row>
    <row r="1273" spans="1:6" x14ac:dyDescent="0.25">
      <c r="A1273" t="s">
        <v>3628</v>
      </c>
      <c r="B1273" t="s">
        <v>3629</v>
      </c>
      <c r="C1273" t="s">
        <v>3630</v>
      </c>
      <c r="D1273">
        <v>2009</v>
      </c>
      <c r="E1273" t="s">
        <v>3408</v>
      </c>
      <c r="F1273" t="str">
        <f>HYPERLINK("https://www.szaktars.hu/harmattan/view/teologia-es-filozofia-a-ket-tudomany-viszonya-es-kozos-tortenete/", "https://www.szaktars.hu/harmattan/view/teologia-es-filozofia-a-ket-tudomany-viszonya-es-kozos-tortenete/")</f>
        <v>https://www.szaktars.hu/harmattan/view/teologia-es-filozofia-a-ket-tudomany-viszonya-es-kozos-tortenete/</v>
      </c>
    </row>
    <row r="1274" spans="1:6" x14ac:dyDescent="0.25">
      <c r="A1274" t="s">
        <v>3631</v>
      </c>
      <c r="B1274" t="s">
        <v>3632</v>
      </c>
      <c r="C1274" t="s">
        <v>3633</v>
      </c>
      <c r="D1274">
        <v>2012</v>
      </c>
      <c r="E1274" t="s">
        <v>3408</v>
      </c>
      <c r="F1274" t="str">
        <f>HYPERLINK("https://www.szaktars.hu/harmattan/view/templom-mint-teologia-kulcsok-az-ezekiel-40-48-ertelmezesehez/", "https://www.szaktars.hu/harmattan/view/templom-mint-teologia-kulcsok-az-ezekiel-40-48-ertelmezesehez/")</f>
        <v>https://www.szaktars.hu/harmattan/view/templom-mint-teologia-kulcsok-az-ezekiel-40-48-ertelmezesehez/</v>
      </c>
    </row>
    <row r="1275" spans="1:6" x14ac:dyDescent="0.25">
      <c r="A1275" t="s">
        <v>3634</v>
      </c>
      <c r="B1275" t="s">
        <v>3632</v>
      </c>
      <c r="C1275" t="s">
        <v>3635</v>
      </c>
      <c r="D1275">
        <v>2014</v>
      </c>
      <c r="E1275" t="s">
        <v>3408</v>
      </c>
      <c r="F1275" t="str">
        <f>HYPERLINK("https://www.szaktars.hu/harmattan/view/dicsoseg-tukre-muveszeti-es-teologiai-tanulmanyok/", "https://www.szaktars.hu/harmattan/view/dicsoseg-tukre-muveszeti-es-teologiai-tanulmanyok/")</f>
        <v>https://www.szaktars.hu/harmattan/view/dicsoseg-tukre-muveszeti-es-teologiai-tanulmanyok/</v>
      </c>
    </row>
    <row r="1276" spans="1:6" x14ac:dyDescent="0.25">
      <c r="A1276" t="s">
        <v>3636</v>
      </c>
      <c r="B1276" t="s">
        <v>3637</v>
      </c>
      <c r="C1276" t="s">
        <v>3638</v>
      </c>
      <c r="D1276">
        <v>2015</v>
      </c>
      <c r="E1276" t="s">
        <v>3408</v>
      </c>
      <c r="F1276" t="str">
        <f>HYPERLINK("https://www.szaktars.hu/harmattan/view/a-vallasossag-erkolcsi-erenye/", "https://www.szaktars.hu/harmattan/view/a-vallasossag-erkolcsi-erenye/")</f>
        <v>https://www.szaktars.hu/harmattan/view/a-vallasossag-erkolcsi-erenye/</v>
      </c>
    </row>
    <row r="1277" spans="1:6" x14ac:dyDescent="0.25">
      <c r="A1277" t="s">
        <v>3639</v>
      </c>
      <c r="B1277" t="s">
        <v>3640</v>
      </c>
      <c r="C1277" t="s">
        <v>3641</v>
      </c>
      <c r="D1277">
        <v>2012</v>
      </c>
      <c r="E1277" t="s">
        <v>3408</v>
      </c>
      <c r="F1277" t="str">
        <f>HYPERLINK("https://www.szaktars.hu/harmattan/view/uj-dalt-enekeljetek-a-kereszteny-hivatas-vita-consecrata-4/", "https://www.szaktars.hu/harmattan/view/uj-dalt-enekeljetek-a-kereszteny-hivatas-vita-consecrata-4/")</f>
        <v>https://www.szaktars.hu/harmattan/view/uj-dalt-enekeljetek-a-kereszteny-hivatas-vita-consecrata-4/</v>
      </c>
    </row>
    <row r="1278" spans="1:6" x14ac:dyDescent="0.25">
      <c r="A1278" t="s">
        <v>3642</v>
      </c>
      <c r="B1278" t="s">
        <v>3643</v>
      </c>
      <c r="C1278" t="s">
        <v>3644</v>
      </c>
      <c r="D1278">
        <v>2012</v>
      </c>
      <c r="E1278" t="s">
        <v>3408</v>
      </c>
      <c r="F1278" t="str">
        <f>HYPERLINK("https://www.szaktars.hu/harmattan/view/oromotok-szolgai-elmelkedesek-a-papi-lelkisegrol/", "https://www.szaktars.hu/harmattan/view/oromotok-szolgai-elmelkedesek-a-papi-lelkisegrol/")</f>
        <v>https://www.szaktars.hu/harmattan/view/oromotok-szolgai-elmelkedesek-a-papi-lelkisegrol/</v>
      </c>
    </row>
    <row r="1279" spans="1:6" x14ac:dyDescent="0.25">
      <c r="A1279" t="s">
        <v>3645</v>
      </c>
      <c r="B1279" t="s">
        <v>3646</v>
      </c>
      <c r="C1279" t="s">
        <v>3647</v>
      </c>
      <c r="D1279">
        <v>2009</v>
      </c>
      <c r="E1279" t="s">
        <v>3408</v>
      </c>
      <c r="F1279" t="str">
        <f>HYPERLINK("https://www.szaktars.hu/harmattan/view/a-tizenket-eves-jezusrol-es-oratio-pastoralis/", "https://www.szaktars.hu/harmattan/view/a-tizenket-eves-jezusrol-es-oratio-pastoralis/")</f>
        <v>https://www.szaktars.hu/harmattan/view/a-tizenket-eves-jezusrol-es-oratio-pastoralis/</v>
      </c>
    </row>
    <row r="1280" spans="1:6" x14ac:dyDescent="0.25">
      <c r="A1280" t="s">
        <v>3648</v>
      </c>
      <c r="B1280" t="s">
        <v>3649</v>
      </c>
      <c r="C1280" t="s">
        <v>3650</v>
      </c>
      <c r="D1280">
        <v>2014</v>
      </c>
      <c r="E1280" t="s">
        <v>3408</v>
      </c>
      <c r="F1280" t="str">
        <f>HYPERLINK("https://www.szaktars.hu/harmattan/view/szent-odo-elete/", "https://www.szaktars.hu/harmattan/view/szent-odo-elete/")</f>
        <v>https://www.szaktars.hu/harmattan/view/szent-odo-elete/</v>
      </c>
    </row>
    <row r="1281" spans="1:6" x14ac:dyDescent="0.25">
      <c r="A1281" t="s">
        <v>3651</v>
      </c>
      <c r="B1281" t="s">
        <v>3652</v>
      </c>
      <c r="C1281" t="s">
        <v>3653</v>
      </c>
      <c r="D1281">
        <v>2013</v>
      </c>
      <c r="E1281" t="s">
        <v>3408</v>
      </c>
      <c r="F1281" t="str">
        <f>HYPERLINK("https://www.szaktars.hu/harmattan/view/a-diakonusi-szolgalat-az-egyhazban/", "https://www.szaktars.hu/harmattan/view/a-diakonusi-szolgalat-az-egyhazban/")</f>
        <v>https://www.szaktars.hu/harmattan/view/a-diakonusi-szolgalat-az-egyhazban/</v>
      </c>
    </row>
    <row r="1282" spans="1:6" x14ac:dyDescent="0.25">
      <c r="A1282" t="s">
        <v>3654</v>
      </c>
      <c r="C1282" t="s">
        <v>3655</v>
      </c>
      <c r="D1282">
        <v>2016</v>
      </c>
      <c r="E1282" t="s">
        <v>3408</v>
      </c>
      <c r="F1282" t="str">
        <f>HYPERLINK("https://www.szaktars.hu/harmattan/view/egyen-es-kozosseg-konferenciakotet/", "https://www.szaktars.hu/harmattan/view/egyen-es-kozosseg-konferenciakotet/")</f>
        <v>https://www.szaktars.hu/harmattan/view/egyen-es-kozosseg-konferenciakotet/</v>
      </c>
    </row>
    <row r="1283" spans="1:6" x14ac:dyDescent="0.25">
      <c r="A1283" t="s">
        <v>3656</v>
      </c>
      <c r="B1283" t="s">
        <v>3657</v>
      </c>
      <c r="C1283" t="s">
        <v>3658</v>
      </c>
      <c r="D1283">
        <v>2013</v>
      </c>
      <c r="E1283" t="s">
        <v>3408</v>
      </c>
      <c r="F1283" t="str">
        <f>HYPERLINK("https://www.szaktars.hu/harmattan/view/szemelvenyek-a-magyar-vallastudomany-tortenetebol-i-jeles-szerzok-1860-1920/", "https://www.szaktars.hu/harmattan/view/szemelvenyek-a-magyar-vallastudomany-tortenetebol-i-jeles-szerzok-1860-1920/")</f>
        <v>https://www.szaktars.hu/harmattan/view/szemelvenyek-a-magyar-vallastudomany-tortenetebol-i-jeles-szerzok-1860-1920/</v>
      </c>
    </row>
    <row r="1284" spans="1:6" x14ac:dyDescent="0.25">
      <c r="A1284" t="s">
        <v>3659</v>
      </c>
      <c r="B1284" t="s">
        <v>3657</v>
      </c>
      <c r="C1284" t="s">
        <v>3660</v>
      </c>
      <c r="D1284">
        <v>2013</v>
      </c>
      <c r="E1284" t="s">
        <v>3408</v>
      </c>
      <c r="F1284" t="str">
        <f>HYPERLINK("https://www.szaktars.hu/harmattan/view/szemelvenyek-a-magyar-vallastudomany-tortenetebol-ii-jeles-szerzok-1921-1945/", "https://www.szaktars.hu/harmattan/view/szemelvenyek-a-magyar-vallastudomany-tortenetebol-ii-jeles-szerzok-1921-1945/")</f>
        <v>https://www.szaktars.hu/harmattan/view/szemelvenyek-a-magyar-vallastudomany-tortenetebol-ii-jeles-szerzok-1921-1945/</v>
      </c>
    </row>
    <row r="1285" spans="1:6" x14ac:dyDescent="0.25">
      <c r="A1285" t="s">
        <v>3661</v>
      </c>
      <c r="B1285" t="s">
        <v>821</v>
      </c>
      <c r="C1285" t="s">
        <v>3662</v>
      </c>
      <c r="D1285">
        <v>2015</v>
      </c>
      <c r="E1285" t="s">
        <v>3408</v>
      </c>
      <c r="F1285" t="str">
        <f>HYPERLINK("https://www.szaktars.hu/harmattan/view/contemplar-linfini/", "https://www.szaktars.hu/harmattan/view/contemplar-linfini/")</f>
        <v>https://www.szaktars.hu/harmattan/view/contemplar-linfini/</v>
      </c>
    </row>
    <row r="1286" spans="1:6" x14ac:dyDescent="0.25">
      <c r="A1286" t="s">
        <v>3663</v>
      </c>
      <c r="B1286" t="s">
        <v>3664</v>
      </c>
      <c r="C1286" t="s">
        <v>3665</v>
      </c>
      <c r="D1286">
        <v>2007</v>
      </c>
      <c r="E1286" t="s">
        <v>3408</v>
      </c>
      <c r="F1286" t="str">
        <f>HYPERLINK("https://www.szaktars.hu/harmattan/view/hagyomanyok-dialogusban-kozelitesek-janos-evangeliumahoz/", "https://www.szaktars.hu/harmattan/view/hagyomanyok-dialogusban-kozelitesek-janos-evangeliumahoz/")</f>
        <v>https://www.szaktars.hu/harmattan/view/hagyomanyok-dialogusban-kozelitesek-janos-evangeliumahoz/</v>
      </c>
    </row>
    <row r="1287" spans="1:6" x14ac:dyDescent="0.25">
      <c r="A1287" t="s">
        <v>3666</v>
      </c>
      <c r="B1287" t="s">
        <v>3667</v>
      </c>
      <c r="C1287" t="s">
        <v>3668</v>
      </c>
      <c r="D1287">
        <v>2012</v>
      </c>
      <c r="E1287" t="s">
        <v>3408</v>
      </c>
      <c r="F1287" t="str">
        <f>HYPERLINK("https://www.szaktars.hu/harmattan/view/a-kezdetek-varazsa-es-lendulete-kozelitesek-a-lukacs-evangeliumhoz-es-az-apostolok-cselekedeteihez/", "https://www.szaktars.hu/harmattan/view/a-kezdetek-varazsa-es-lendulete-kozelitesek-a-lukacs-evangeliumhoz-es-az-apostolok-cselekedeteihez/")</f>
        <v>https://www.szaktars.hu/harmattan/view/a-kezdetek-varazsa-es-lendulete-kozelitesek-a-lukacs-evangeliumhoz-es-az-apostolok-cselekedeteihez/</v>
      </c>
    </row>
    <row r="1288" spans="1:6" x14ac:dyDescent="0.25">
      <c r="A1288" t="s">
        <v>3669</v>
      </c>
      <c r="B1288" t="s">
        <v>3667</v>
      </c>
      <c r="C1288" t="s">
        <v>3670</v>
      </c>
      <c r="D1288">
        <v>2009</v>
      </c>
      <c r="E1288" t="s">
        <v>3408</v>
      </c>
      <c r="F1288" t="str">
        <f>HYPERLINK("https://www.szaktars.hu/harmattan/view/az-udvosseg-mint-esely-es-talany-kozelitesek-a-mark-evangeliumhoz/", "https://www.szaktars.hu/harmattan/view/az-udvosseg-mint-esely-es-talany-kozelitesek-a-mark-evangeliumhoz/")</f>
        <v>https://www.szaktars.hu/harmattan/view/az-udvosseg-mint-esely-es-talany-kozelitesek-a-mark-evangeliumhoz/</v>
      </c>
    </row>
    <row r="1289" spans="1:6" x14ac:dyDescent="0.25">
      <c r="A1289" t="s">
        <v>3671</v>
      </c>
      <c r="B1289" t="s">
        <v>3667</v>
      </c>
      <c r="C1289" t="s">
        <v>3672</v>
      </c>
      <c r="D1289">
        <v>2007</v>
      </c>
      <c r="E1289" t="s">
        <v>3408</v>
      </c>
      <c r="F1289" t="str">
        <f>HYPERLINK("https://www.szaktars.hu/harmattan/view/hozzatok-szavakat-magatokkal-kozelitesek-a-zsoltarokhoz/", "https://www.szaktars.hu/harmattan/view/hozzatok-szavakat-magatokkal-kozelitesek-a-zsoltarokhoz/")</f>
        <v>https://www.szaktars.hu/harmattan/view/hozzatok-szavakat-magatokkal-kozelitesek-a-zsoltarokhoz/</v>
      </c>
    </row>
    <row r="1290" spans="1:6" x14ac:dyDescent="0.25">
      <c r="A1290" t="s">
        <v>3673</v>
      </c>
      <c r="B1290" t="s">
        <v>3667</v>
      </c>
      <c r="C1290" t="s">
        <v>3674</v>
      </c>
      <c r="D1290">
        <v>2008</v>
      </c>
      <c r="E1290" t="s">
        <v>3408</v>
      </c>
      <c r="F1290" t="str">
        <f>HYPERLINK("https://www.szaktars.hu/harmattan/view/nem-irnokok-hanem-irastudok-kozelitesek-a-szinoptikus-evangeliumokhoz/", "https://www.szaktars.hu/harmattan/view/nem-irnokok-hanem-irastudok-kozelitesek-a-szinoptikus-evangeliumokhoz/")</f>
        <v>https://www.szaktars.hu/harmattan/view/nem-irnokok-hanem-irastudok-kozelitesek-a-szinoptikus-evangeliumokhoz/</v>
      </c>
    </row>
    <row r="1291" spans="1:6" x14ac:dyDescent="0.25">
      <c r="A1291" t="s">
        <v>3675</v>
      </c>
      <c r="B1291" t="s">
        <v>3676</v>
      </c>
      <c r="C1291" t="s">
        <v>3677</v>
      </c>
      <c r="D1291">
        <v>2015</v>
      </c>
      <c r="E1291" t="s">
        <v>3408</v>
      </c>
      <c r="F1291" t="str">
        <f>HYPERLINK("https://www.szaktars.hu/harmattan/view/lelekenciklopedia-a-lelek-szerepe-az-emberiseg-szellemi-fejlodeseben-i/", "https://www.szaktars.hu/harmattan/view/lelekenciklopedia-a-lelek-szerepe-az-emberiseg-szellemi-fejlodeseben-i/")</f>
        <v>https://www.szaktars.hu/harmattan/view/lelekenciklopedia-a-lelek-szerepe-az-emberiseg-szellemi-fejlodeseben-i/</v>
      </c>
    </row>
    <row r="1292" spans="1:6" x14ac:dyDescent="0.25">
      <c r="A1292" t="s">
        <v>3678</v>
      </c>
      <c r="B1292" t="s">
        <v>3679</v>
      </c>
      <c r="C1292" t="s">
        <v>3680</v>
      </c>
      <c r="D1292">
        <v>2012</v>
      </c>
      <c r="E1292" t="s">
        <v>3408</v>
      </c>
      <c r="F1292" t="str">
        <f>HYPERLINK("https://www.szaktars.hu/harmattan/view/a-vatikan-keleti-politikaja-kozelrol-az-ostpolitik-szine-es-visszaja/", "https://www.szaktars.hu/harmattan/view/a-vatikan-keleti-politikaja-kozelrol-az-ostpolitik-szine-es-visszaja/")</f>
        <v>https://www.szaktars.hu/harmattan/view/a-vatikan-keleti-politikaja-kozelrol-az-ostpolitik-szine-es-visszaja/</v>
      </c>
    </row>
    <row r="1293" spans="1:6" x14ac:dyDescent="0.25">
      <c r="A1293" t="s">
        <v>3681</v>
      </c>
      <c r="B1293" t="s">
        <v>3679</v>
      </c>
      <c r="C1293" t="s">
        <v>3682</v>
      </c>
      <c r="D1293">
        <v>2012</v>
      </c>
      <c r="E1293" t="s">
        <v>3408</v>
      </c>
      <c r="F1293" t="str">
        <f>HYPERLINK("https://www.szaktars.hu/harmattan/view/krisztus-es-egyhaza-pazmany-peter-eletmuveben/", "https://www.szaktars.hu/harmattan/view/krisztus-es-egyhaza-pazmany-peter-eletmuveben/")</f>
        <v>https://www.szaktars.hu/harmattan/view/krisztus-es-egyhaza-pazmany-peter-eletmuveben/</v>
      </c>
    </row>
    <row r="1294" spans="1:6" x14ac:dyDescent="0.25">
      <c r="A1294" t="s">
        <v>3683</v>
      </c>
      <c r="B1294" t="s">
        <v>3684</v>
      </c>
      <c r="C1294" t="s">
        <v>3685</v>
      </c>
      <c r="D1294">
        <v>2009</v>
      </c>
      <c r="E1294" t="s">
        <v>3408</v>
      </c>
      <c r="F1294" t="str">
        <f>HYPERLINK("https://www.szaktars.hu/harmattan/view/salamon-zsoltarai-bevezetes-forditas-jegyzetek/", "https://www.szaktars.hu/harmattan/view/salamon-zsoltarai-bevezetes-forditas-jegyzetek/")</f>
        <v>https://www.szaktars.hu/harmattan/view/salamon-zsoltarai-bevezetes-forditas-jegyzetek/</v>
      </c>
    </row>
    <row r="1295" spans="1:6" x14ac:dyDescent="0.25">
      <c r="A1295" t="s">
        <v>3686</v>
      </c>
      <c r="B1295" t="s">
        <v>3687</v>
      </c>
      <c r="C1295" t="s">
        <v>3688</v>
      </c>
      <c r="D1295">
        <v>2005</v>
      </c>
      <c r="E1295" t="s">
        <v>3408</v>
      </c>
      <c r="F1295" t="str">
        <f>HYPERLINK("https://www.szaktars.hu/harmattan/view/hittetelek-es-velemenyek-konyve/", "https://www.szaktars.hu/harmattan/view/hittetelek-es-velemenyek-konyve/")</f>
        <v>https://www.szaktars.hu/harmattan/view/hittetelek-es-velemenyek-konyve/</v>
      </c>
    </row>
    <row r="1296" spans="1:6" x14ac:dyDescent="0.25">
      <c r="A1296" t="s">
        <v>3689</v>
      </c>
      <c r="B1296" t="s">
        <v>3690</v>
      </c>
      <c r="C1296" t="s">
        <v>3691</v>
      </c>
      <c r="D1296">
        <v>2011</v>
      </c>
      <c r="E1296" t="s">
        <v>3408</v>
      </c>
      <c r="F1296" t="str">
        <f>HYPERLINK("https://www.szaktars.hu/harmattan/view/vidimus-enim-stellam-eius-konferenciakotet/", "https://www.szaktars.hu/harmattan/view/vidimus-enim-stellam-eius-konferenciakotet/")</f>
        <v>https://www.szaktars.hu/harmattan/view/vidimus-enim-stellam-eius-konferenciakotet/</v>
      </c>
    </row>
    <row r="1297" spans="1:6" x14ac:dyDescent="0.25">
      <c r="A1297" t="s">
        <v>3692</v>
      </c>
      <c r="B1297" t="s">
        <v>3693</v>
      </c>
      <c r="C1297" t="s">
        <v>3694</v>
      </c>
      <c r="D1297">
        <v>2013</v>
      </c>
      <c r="E1297" t="s">
        <v>3408</v>
      </c>
      <c r="F1297" t="str">
        <f>HYPERLINK("https://www.szaktars.hu/harmattan/view/hit-es-esz-teologiai-es-filozofiai-kozelitesek/", "https://www.szaktars.hu/harmattan/view/hit-es-esz-teologiai-es-filozofiai-kozelitesek/")</f>
        <v>https://www.szaktars.hu/harmattan/view/hit-es-esz-teologiai-es-filozofiai-kozelitesek/</v>
      </c>
    </row>
    <row r="1298" spans="1:6" x14ac:dyDescent="0.25">
      <c r="A1298" t="s">
        <v>3695</v>
      </c>
      <c r="B1298" t="s">
        <v>3696</v>
      </c>
      <c r="C1298" t="s">
        <v>3697</v>
      </c>
      <c r="D1298">
        <v>2013</v>
      </c>
      <c r="E1298" t="s">
        <v>3408</v>
      </c>
      <c r="F1298" t="str">
        <f>HYPERLINK("https://www.szaktars.hu/harmattan/view/buddhizmus/", "https://www.szaktars.hu/harmattan/view/buddhizmus/")</f>
        <v>https://www.szaktars.hu/harmattan/view/buddhizmus/</v>
      </c>
    </row>
    <row r="1299" spans="1:6" x14ac:dyDescent="0.25">
      <c r="A1299" t="s">
        <v>3698</v>
      </c>
      <c r="B1299" t="s">
        <v>3699</v>
      </c>
      <c r="C1299" t="s">
        <v>3700</v>
      </c>
      <c r="D1299">
        <v>2011</v>
      </c>
      <c r="E1299" t="s">
        <v>3408</v>
      </c>
      <c r="F1299" t="str">
        <f>HYPERLINK("https://www.szaktars.hu/harmattan/view/tanulmanyok-a-tibeti-es-mongol-buddhizmus-korebol-szerb-janos-emlekkotet/", "https://www.szaktars.hu/harmattan/view/tanulmanyok-a-tibeti-es-mongol-buddhizmus-korebol-szerb-janos-emlekkotet/")</f>
        <v>https://www.szaktars.hu/harmattan/view/tanulmanyok-a-tibeti-es-mongol-buddhizmus-korebol-szerb-janos-emlekkotet/</v>
      </c>
    </row>
    <row r="1300" spans="1:6" x14ac:dyDescent="0.25">
      <c r="A1300" t="s">
        <v>3701</v>
      </c>
      <c r="B1300" t="s">
        <v>3702</v>
      </c>
      <c r="C1300" t="s">
        <v>3703</v>
      </c>
      <c r="D1300">
        <v>2015</v>
      </c>
      <c r="E1300" t="s">
        <v>3408</v>
      </c>
      <c r="F1300" t="str">
        <f>HYPERLINK("https://www.szaktars.hu/harmattan/view/pannoniai-vallastortenet/", "https://www.szaktars.hu/harmattan/view/pannoniai-vallastortenet/")</f>
        <v>https://www.szaktars.hu/harmattan/view/pannoniai-vallastortenet/</v>
      </c>
    </row>
    <row r="1301" spans="1:6" x14ac:dyDescent="0.25">
      <c r="A1301" t="s">
        <v>3704</v>
      </c>
      <c r="B1301" t="s">
        <v>3705</v>
      </c>
      <c r="C1301" t="s">
        <v>3706</v>
      </c>
      <c r="D1301">
        <v>2013</v>
      </c>
      <c r="E1301" t="s">
        <v>3408</v>
      </c>
      <c r="F1301" t="str">
        <f>HYPERLINK("https://www.szaktars.hu/harmattan/view/assisi-szent-ferenc-utja/", "https://www.szaktars.hu/harmattan/view/assisi-szent-ferenc-utja/")</f>
        <v>https://www.szaktars.hu/harmattan/view/assisi-szent-ferenc-utja/</v>
      </c>
    </row>
    <row r="1302" spans="1:6" x14ac:dyDescent="0.25">
      <c r="A1302" t="s">
        <v>3707</v>
      </c>
      <c r="B1302" t="s">
        <v>3708</v>
      </c>
      <c r="C1302" t="s">
        <v>3709</v>
      </c>
      <c r="D1302">
        <v>2010</v>
      </c>
      <c r="E1302" t="s">
        <v>3408</v>
      </c>
      <c r="F1302" t="str">
        <f>HYPERLINK("https://www.szaktars.hu/harmattan/view/ikon-es-ikonikussag/", "https://www.szaktars.hu/harmattan/view/ikon-es-ikonikussag/")</f>
        <v>https://www.szaktars.hu/harmattan/view/ikon-es-ikonikussag/</v>
      </c>
    </row>
    <row r="1303" spans="1:6" x14ac:dyDescent="0.25">
      <c r="A1303" t="s">
        <v>3710</v>
      </c>
      <c r="B1303" t="s">
        <v>3711</v>
      </c>
      <c r="C1303" t="s">
        <v>3712</v>
      </c>
      <c r="D1303">
        <v>2011</v>
      </c>
      <c r="E1303" t="s">
        <v>3408</v>
      </c>
      <c r="F1303" t="str">
        <f>HYPERLINK("https://www.szaktars.hu/harmattan/view/a-ferences-regula-korai-es-mai-ertelmezesek/", "https://www.szaktars.hu/harmattan/view/a-ferences-regula-korai-es-mai-ertelmezesek/")</f>
        <v>https://www.szaktars.hu/harmattan/view/a-ferences-regula-korai-es-mai-ertelmezesek/</v>
      </c>
    </row>
    <row r="1304" spans="1:6" x14ac:dyDescent="0.25">
      <c r="A1304" t="s">
        <v>3713</v>
      </c>
      <c r="B1304" t="s">
        <v>3714</v>
      </c>
      <c r="C1304" t="s">
        <v>3715</v>
      </c>
      <c r="D1304">
        <v>2014</v>
      </c>
      <c r="E1304" t="s">
        <v>3408</v>
      </c>
      <c r="F1304" t="str">
        <f>HYPERLINK("https://www.szaktars.hu/harmattan/view/a-spiritualis-kozvetito/", "https://www.szaktars.hu/harmattan/view/a-spiritualis-kozvetito/")</f>
        <v>https://www.szaktars.hu/harmattan/view/a-spiritualis-kozvetito/</v>
      </c>
    </row>
    <row r="1305" spans="1:6" x14ac:dyDescent="0.25">
      <c r="A1305" t="s">
        <v>3716</v>
      </c>
      <c r="B1305" t="s">
        <v>3717</v>
      </c>
      <c r="C1305" t="s">
        <v>3718</v>
      </c>
      <c r="D1305">
        <v>2008</v>
      </c>
      <c r="E1305" t="s">
        <v>3408</v>
      </c>
      <c r="F1305" t="str">
        <f>HYPERLINK("https://www.szaktars.hu/harmattan/view/a-kettos-aldas-fia-jozsef-henok-szerepe-thomas-mann-jozsef-es-testverei-cimu-regenyeben/", "https://www.szaktars.hu/harmattan/view/a-kettos-aldas-fia-jozsef-henok-szerepe-thomas-mann-jozsef-es-testverei-cimu-regenyeben/")</f>
        <v>https://www.szaktars.hu/harmattan/view/a-kettos-aldas-fia-jozsef-henok-szerepe-thomas-mann-jozsef-es-testverei-cimu-regenyeben/</v>
      </c>
    </row>
    <row r="1306" spans="1:6" x14ac:dyDescent="0.25">
      <c r="A1306" t="s">
        <v>3719</v>
      </c>
      <c r="B1306" t="s">
        <v>3720</v>
      </c>
      <c r="C1306" t="s">
        <v>3721</v>
      </c>
      <c r="D1306">
        <v>2014</v>
      </c>
      <c r="E1306" t="s">
        <v>3408</v>
      </c>
      <c r="F1306" t="str">
        <f>HYPERLINK("https://www.szaktars.hu/harmattan/view/aquinoi-szent-tamas-es-a-magia/", "https://www.szaktars.hu/harmattan/view/aquinoi-szent-tamas-es-a-magia/")</f>
        <v>https://www.szaktars.hu/harmattan/view/aquinoi-szent-tamas-es-a-magia/</v>
      </c>
    </row>
    <row r="1307" spans="1:6" x14ac:dyDescent="0.25">
      <c r="A1307" t="s">
        <v>3722</v>
      </c>
      <c r="B1307" t="s">
        <v>3723</v>
      </c>
      <c r="C1307" t="s">
        <v>3724</v>
      </c>
      <c r="D1307">
        <v>2010</v>
      </c>
      <c r="E1307" t="s">
        <v>3408</v>
      </c>
      <c r="F1307" t="str">
        <f>HYPERLINK("https://www.szaktars.hu/harmattan/view/a-kozossegi-dontes/", "https://www.szaktars.hu/harmattan/view/a-kozossegi-dontes/")</f>
        <v>https://www.szaktars.hu/harmattan/view/a-kozossegi-dontes/</v>
      </c>
    </row>
    <row r="1308" spans="1:6" x14ac:dyDescent="0.25">
      <c r="A1308" t="s">
        <v>3725</v>
      </c>
      <c r="B1308" t="s">
        <v>3726</v>
      </c>
      <c r="C1308" t="s">
        <v>3727</v>
      </c>
      <c r="D1308">
        <v>2013</v>
      </c>
      <c r="E1308" t="s">
        <v>3408</v>
      </c>
      <c r="F1308" t="str">
        <f>HYPERLINK("https://www.szaktars.hu/harmattan/view/mit-jelent-hinni-vallasfilozofiai-megfontolasok/", "https://www.szaktars.hu/harmattan/view/mit-jelent-hinni-vallasfilozofiai-megfontolasok/")</f>
        <v>https://www.szaktars.hu/harmattan/view/mit-jelent-hinni-vallasfilozofiai-megfontolasok/</v>
      </c>
    </row>
    <row r="1309" spans="1:6" x14ac:dyDescent="0.25">
      <c r="A1309" t="s">
        <v>3728</v>
      </c>
      <c r="B1309" t="s">
        <v>3729</v>
      </c>
      <c r="C1309" t="s">
        <v>3730</v>
      </c>
      <c r="D1309">
        <v>2011</v>
      </c>
      <c r="E1309" t="s">
        <v>3408</v>
      </c>
      <c r="F1309" t="str">
        <f>HYPERLINK("https://www.szaktars.hu/harmattan/view/az-embervezetes-muveszete/", "https://www.szaktars.hu/harmattan/view/az-embervezetes-muveszete/")</f>
        <v>https://www.szaktars.hu/harmattan/view/az-embervezetes-muveszete/</v>
      </c>
    </row>
    <row r="1310" spans="1:6" x14ac:dyDescent="0.25">
      <c r="A1310" t="s">
        <v>3731</v>
      </c>
      <c r="B1310" t="s">
        <v>3732</v>
      </c>
      <c r="C1310" t="s">
        <v>3733</v>
      </c>
      <c r="D1310">
        <v>2004</v>
      </c>
      <c r="E1310" t="s">
        <v>3408</v>
      </c>
      <c r="F1310" t="str">
        <f>HYPERLINK("https://www.szaktars.hu/harmattan/view/szovetsegek-erotereben-a-deuterokanonikus-irodalom-alapveto-kerdesei/", "https://www.szaktars.hu/harmattan/view/szovetsegek-erotereben-a-deuterokanonikus-irodalom-alapveto-kerdesei/")</f>
        <v>https://www.szaktars.hu/harmattan/view/szovetsegek-erotereben-a-deuterokanonikus-irodalom-alapveto-kerdesei/</v>
      </c>
    </row>
    <row r="1311" spans="1:6" x14ac:dyDescent="0.25">
      <c r="A1311" t="s">
        <v>3734</v>
      </c>
      <c r="B1311" t="s">
        <v>3732</v>
      </c>
      <c r="C1311" t="s">
        <v>3735</v>
      </c>
      <c r="D1311">
        <v>2005</v>
      </c>
      <c r="E1311" t="s">
        <v>3408</v>
      </c>
      <c r="F1311" t="str">
        <f>HYPERLINK("https://www.szaktars.hu/harmattan/view/tobit-tobias-konyve-szoveg-hagyomany-teologia/", "https://www.szaktars.hu/harmattan/view/tobit-tobias-konyve-szoveg-hagyomany-teologia/")</f>
        <v>https://www.szaktars.hu/harmattan/view/tobit-tobias-konyve-szoveg-hagyomany-teologia/</v>
      </c>
    </row>
    <row r="1312" spans="1:6" x14ac:dyDescent="0.25">
      <c r="A1312" t="s">
        <v>3736</v>
      </c>
      <c r="B1312" t="s">
        <v>3406</v>
      </c>
      <c r="C1312" t="s">
        <v>3737</v>
      </c>
      <c r="D1312">
        <v>2007</v>
      </c>
      <c r="E1312" t="s">
        <v>3408</v>
      </c>
      <c r="F1312" t="str">
        <f>HYPERLINK("https://www.szaktars.hu/harmattan/view/a-liturgiarol-okumenikus-megkozelitesben/", "https://www.szaktars.hu/harmattan/view/a-liturgiarol-okumenikus-megkozelitesben/")</f>
        <v>https://www.szaktars.hu/harmattan/view/a-liturgiarol-okumenikus-megkozelitesben/</v>
      </c>
    </row>
    <row r="1313" spans="1:6" x14ac:dyDescent="0.25">
      <c r="A1313" t="s">
        <v>3738</v>
      </c>
      <c r="B1313" t="s">
        <v>3739</v>
      </c>
      <c r="C1313" t="s">
        <v>3740</v>
      </c>
      <c r="D1313">
        <v>2009</v>
      </c>
      <c r="E1313" t="s">
        <v>3408</v>
      </c>
      <c r="F1313" t="str">
        <f>HYPERLINK("https://www.szaktars.hu/harmattan/view/oszlop-a-hegyen-stylita-szent-simeon-elete/", "https://www.szaktars.hu/harmattan/view/oszlop-a-hegyen-stylita-szent-simeon-elete/")</f>
        <v>https://www.szaktars.hu/harmattan/view/oszlop-a-hegyen-stylita-szent-simeon-elete/</v>
      </c>
    </row>
    <row r="1314" spans="1:6" x14ac:dyDescent="0.25">
      <c r="A1314" t="s">
        <v>3741</v>
      </c>
      <c r="B1314" t="s">
        <v>3742</v>
      </c>
      <c r="C1314" t="s">
        <v>3743</v>
      </c>
      <c r="D1314">
        <v>2010</v>
      </c>
      <c r="E1314" t="s">
        <v>3408</v>
      </c>
      <c r="F1314" t="str">
        <f>HYPERLINK("https://www.szaktars.hu/harmattan/view/izsak-megkotozese-tortenet-es-hatastortenet/", "https://www.szaktars.hu/harmattan/view/izsak-megkotozese-tortenet-es-hatastortenet/")</f>
        <v>https://www.szaktars.hu/harmattan/view/izsak-megkotozese-tortenet-es-hatastortenet/</v>
      </c>
    </row>
    <row r="1315" spans="1:6" x14ac:dyDescent="0.25">
      <c r="A1315" t="s">
        <v>3744</v>
      </c>
      <c r="B1315" t="s">
        <v>3745</v>
      </c>
      <c r="C1315" t="s">
        <v>3746</v>
      </c>
      <c r="D1315">
        <v>2011</v>
      </c>
      <c r="E1315" t="s">
        <v>3408</v>
      </c>
      <c r="F1315" t="str">
        <f>HYPERLINK("https://www.szaktars.hu/harmattan/view/angyalok-az-okortol-szent-tamasig/", "https://www.szaktars.hu/harmattan/view/angyalok-az-okortol-szent-tamasig/")</f>
        <v>https://www.szaktars.hu/harmattan/view/angyalok-az-okortol-szent-tamasig/</v>
      </c>
    </row>
    <row r="1316" spans="1:6" x14ac:dyDescent="0.25">
      <c r="A1316" t="s">
        <v>3747</v>
      </c>
      <c r="B1316" t="s">
        <v>3748</v>
      </c>
      <c r="C1316" t="s">
        <v>3749</v>
      </c>
      <c r="D1316">
        <v>2008</v>
      </c>
      <c r="E1316" t="s">
        <v>3408</v>
      </c>
      <c r="F1316" t="str">
        <f>HYPERLINK("https://www.szaktars.hu/harmattan/view/a-deuterokanonikus-konyvek-bevezetes-keletkezes-es-irodalomtortenetukbe/", "https://www.szaktars.hu/harmattan/view/a-deuterokanonikus-konyvek-bevezetes-keletkezes-es-irodalomtortenetukbe/")</f>
        <v>https://www.szaktars.hu/harmattan/view/a-deuterokanonikus-konyvek-bevezetes-keletkezes-es-irodalomtortenetukbe/</v>
      </c>
    </row>
    <row r="1317" spans="1:6" x14ac:dyDescent="0.25">
      <c r="A1317" t="s">
        <v>3750</v>
      </c>
      <c r="B1317" t="s">
        <v>3748</v>
      </c>
      <c r="C1317" t="s">
        <v>3751</v>
      </c>
      <c r="D1317">
        <v>2006</v>
      </c>
      <c r="E1317" t="s">
        <v>3408</v>
      </c>
      <c r="F1317" t="str">
        <f>HYPERLINK("https://www.szaktars.hu/harmattan/view/a-zarandokenekek/", "https://www.szaktars.hu/harmattan/view/a-zarandokenekek/")</f>
        <v>https://www.szaktars.hu/harmattan/view/a-zarandokenekek/</v>
      </c>
    </row>
    <row r="1318" spans="1:6" x14ac:dyDescent="0.25">
      <c r="A1318" t="s">
        <v>3752</v>
      </c>
      <c r="B1318" t="s">
        <v>3748</v>
      </c>
      <c r="C1318" t="s">
        <v>3753</v>
      </c>
      <c r="D1318">
        <v>2003</v>
      </c>
      <c r="E1318" t="s">
        <v>3408</v>
      </c>
      <c r="F1318" t="str">
        <f>HYPERLINK("https://www.szaktars.hu/harmattan/view/atalakulo-hagyomanyok-tanulmanyok-a-qumrani-kozosseg-a-korai-zsidosag-es-a-szuleto-keresztenyseg-irodalmarol/", "https://www.szaktars.hu/harmattan/view/atalakulo-hagyomanyok-tanulmanyok-a-qumrani-kozosseg-a-korai-zsidosag-es-a-szuleto-keresztenyseg-irodalmarol/")</f>
        <v>https://www.szaktars.hu/harmattan/view/atalakulo-hagyomanyok-tanulmanyok-a-qumrani-kozosseg-a-korai-zsidosag-es-a-szuleto-keresztenyseg-irodalmarol/</v>
      </c>
    </row>
    <row r="1319" spans="1:6" x14ac:dyDescent="0.25">
      <c r="A1319" t="s">
        <v>3754</v>
      </c>
      <c r="B1319" t="s">
        <v>3748</v>
      </c>
      <c r="C1319" t="s">
        <v>3755</v>
      </c>
      <c r="D1319">
        <v>2008</v>
      </c>
      <c r="E1319" t="s">
        <v>3408</v>
      </c>
      <c r="F1319" t="str">
        <f>HYPERLINK("https://www.szaktars.hu/harmattan/view/konyvtar-a-pusztaban-bevezetes-a-holt-tengeri-tekercsek-nem-bibliai-irodalmaba/", "https://www.szaktars.hu/harmattan/view/konyvtar-a-pusztaban-bevezetes-a-holt-tengeri-tekercsek-nem-bibliai-irodalmaba/")</f>
        <v>https://www.szaktars.hu/harmattan/view/konyvtar-a-pusztaban-bevezetes-a-holt-tengeri-tekercsek-nem-bibliai-irodalmaba/</v>
      </c>
    </row>
    <row r="1320" spans="1:6" x14ac:dyDescent="0.25">
      <c r="A1320" t="s">
        <v>3756</v>
      </c>
      <c r="B1320" t="s">
        <v>3748</v>
      </c>
      <c r="C1320" t="s">
        <v>3757</v>
      </c>
      <c r="D1320">
        <v>2009</v>
      </c>
      <c r="E1320" t="s">
        <v>3408</v>
      </c>
      <c r="F1320" t="str">
        <f>HYPERLINK("https://www.szaktars.hu/harmattan/view/krisztus-koztunk-gondolatok-a-szentirasrol/", "https://www.szaktars.hu/harmattan/view/krisztus-koztunk-gondolatok-a-szentirasrol/")</f>
        <v>https://www.szaktars.hu/harmattan/view/krisztus-koztunk-gondolatok-a-szentirasrol/</v>
      </c>
    </row>
    <row r="1321" spans="1:6" x14ac:dyDescent="0.25">
      <c r="A1321" t="s">
        <v>3758</v>
      </c>
      <c r="B1321" t="s">
        <v>3748</v>
      </c>
      <c r="C1321" t="s">
        <v>3759</v>
      </c>
      <c r="D1321">
        <v>2009</v>
      </c>
      <c r="E1321" t="s">
        <v>3408</v>
      </c>
      <c r="F1321" t="str">
        <f>HYPERLINK("https://www.szaktars.hu/harmattan/view/morzsak-danieltol-barukig-ujabb-tanulmanyok-a-korai-zsidosag-irodalmarol/", "https://www.szaktars.hu/harmattan/view/morzsak-danieltol-barukig-ujabb-tanulmanyok-a-korai-zsidosag-irodalmarol/")</f>
        <v>https://www.szaktars.hu/harmattan/view/morzsak-danieltol-barukig-ujabb-tanulmanyok-a-korai-zsidosag-irodalmarol/</v>
      </c>
    </row>
    <row r="1322" spans="1:6" x14ac:dyDescent="0.25">
      <c r="A1322" t="s">
        <v>3760</v>
      </c>
      <c r="B1322" t="s">
        <v>3748</v>
      </c>
      <c r="C1322" t="s">
        <v>3761</v>
      </c>
      <c r="D1322">
        <v>2008</v>
      </c>
      <c r="E1322" t="s">
        <v>3408</v>
      </c>
      <c r="F1322" t="str">
        <f>HYPERLINK("https://www.szaktars.hu/harmattan/view/tanulmanyok-az-okori-izrael-kultuszarol/", "https://www.szaktars.hu/harmattan/view/tanulmanyok-az-okori-izrael-kultuszarol/")</f>
        <v>https://www.szaktars.hu/harmattan/view/tanulmanyok-az-okori-izrael-kultuszarol/</v>
      </c>
    </row>
    <row r="1323" spans="1:6" x14ac:dyDescent="0.25">
      <c r="A1323" t="s">
        <v>3762</v>
      </c>
      <c r="B1323" t="s">
        <v>3763</v>
      </c>
      <c r="C1323" t="s">
        <v>3764</v>
      </c>
      <c r="D1323">
        <v>2016</v>
      </c>
      <c r="E1323" t="s">
        <v>3408</v>
      </c>
      <c r="F1323" t="str">
        <f>HYPERLINK("https://www.szaktars.hu/harmattan/view/felelet-a-mondolatra-tanulmanyok-a-60-eves-bogardi-szabo-istvan-tiszteletere/", "https://www.szaktars.hu/harmattan/view/felelet-a-mondolatra-tanulmanyok-a-60-eves-bogardi-szabo-istvan-tiszteletere/")</f>
        <v>https://www.szaktars.hu/harmattan/view/felelet-a-mondolatra-tanulmanyok-a-60-eves-bogardi-szabo-istvan-tiszteletere/</v>
      </c>
    </row>
    <row r="1324" spans="1:6" x14ac:dyDescent="0.25">
      <c r="A1324" t="s">
        <v>3765</v>
      </c>
      <c r="B1324" t="s">
        <v>3766</v>
      </c>
      <c r="C1324" t="s">
        <v>3767</v>
      </c>
      <c r="D1324">
        <v>2014</v>
      </c>
      <c r="E1324" t="s">
        <v>3408</v>
      </c>
      <c r="F1324" t="str">
        <f>HYPERLINK("https://www.szaktars.hu/harmattan/view/a-kanon-tobbszolamusaga-a-heber-bibliaoszovetseg-szoveg-es-kanontortenete/", "https://www.szaktars.hu/harmattan/view/a-kanon-tobbszolamusaga-a-heber-bibliaoszovetseg-szoveg-es-kanontortenete/")</f>
        <v>https://www.szaktars.hu/harmattan/view/a-kanon-tobbszolamusaga-a-heber-bibliaoszovetseg-szoveg-es-kanontortenete/</v>
      </c>
    </row>
    <row r="1325" spans="1:6" x14ac:dyDescent="0.25">
      <c r="A1325" t="s">
        <v>3768</v>
      </c>
      <c r="B1325" t="s">
        <v>3766</v>
      </c>
      <c r="C1325" t="s">
        <v>3769</v>
      </c>
      <c r="D1325">
        <v>2006</v>
      </c>
      <c r="E1325" t="s">
        <v>3408</v>
      </c>
      <c r="F1325" t="str">
        <f>HYPERLINK("https://www.szaktars.hu/harmattan/view/balam-konyve-i-a-numeri-22-24-okori-hatastortenete/", "https://www.szaktars.hu/harmattan/view/balam-konyve-i-a-numeri-22-24-okori-hatastortenete/")</f>
        <v>https://www.szaktars.hu/harmattan/view/balam-konyve-i-a-numeri-22-24-okori-hatastortenete/</v>
      </c>
    </row>
    <row r="1326" spans="1:6" x14ac:dyDescent="0.25">
      <c r="A1326" t="s">
        <v>3770</v>
      </c>
      <c r="B1326" t="s">
        <v>3766</v>
      </c>
      <c r="C1326" t="s">
        <v>3771</v>
      </c>
      <c r="D1326">
        <v>2011</v>
      </c>
      <c r="E1326" t="s">
        <v>3408</v>
      </c>
      <c r="F1326" t="str">
        <f>HYPERLINK("https://www.szaktars.hu/harmattan/view/textus-es-kontextus-az-oszovetseg-megertesenek-lehetosegei/", "https://www.szaktars.hu/harmattan/view/textus-es-kontextus-az-oszovetseg-megertesenek-lehetosegei/")</f>
        <v>https://www.szaktars.hu/harmattan/view/textus-es-kontextus-az-oszovetseg-megertesenek-lehetosegei/</v>
      </c>
    </row>
    <row r="1327" spans="1:6" x14ac:dyDescent="0.25">
      <c r="A1327" t="s">
        <v>3772</v>
      </c>
      <c r="B1327" t="s">
        <v>3773</v>
      </c>
      <c r="C1327" t="s">
        <v>3774</v>
      </c>
      <c r="D1327">
        <v>2010</v>
      </c>
      <c r="E1327" t="s">
        <v>3408</v>
      </c>
      <c r="F1327" t="str">
        <f>HYPERLINK("https://www.szaktars.hu/harmattan/view/az-isteni-szerelmek-himnuszai/", "https://www.szaktars.hu/harmattan/view/az-isteni-szerelmek-himnuszai/")</f>
        <v>https://www.szaktars.hu/harmattan/view/az-isteni-szerelmek-himnuszai/</v>
      </c>
    </row>
    <row r="1328" spans="1:6" x14ac:dyDescent="0.25">
      <c r="A1328" t="s">
        <v>3775</v>
      </c>
      <c r="B1328" t="s">
        <v>3776</v>
      </c>
      <c r="C1328" t="s">
        <v>3777</v>
      </c>
      <c r="D1328">
        <v>2017</v>
      </c>
      <c r="E1328" t="s">
        <v>3408</v>
      </c>
      <c r="F1328" t="str">
        <f>HYPERLINK("https://www.szaktars.hu/harmattan/view/adatok-a-magyar-reformatus-predikacios-gyakorlat-ujraertekelesehez-1784-1878-kozott/", "https://www.szaktars.hu/harmattan/view/adatok-a-magyar-reformatus-predikacios-gyakorlat-ujraertekelesehez-1784-1878-kozott/")</f>
        <v>https://www.szaktars.hu/harmattan/view/adatok-a-magyar-reformatus-predikacios-gyakorlat-ujraertekelesehez-1784-1878-kozott/</v>
      </c>
    </row>
    <row r="1329" spans="1:6" x14ac:dyDescent="0.25">
      <c r="A1329" t="s">
        <v>3778</v>
      </c>
      <c r="B1329" t="s">
        <v>3779</v>
      </c>
      <c r="C1329" t="s">
        <v>3780</v>
      </c>
      <c r="D1329">
        <v>2017</v>
      </c>
      <c r="E1329" t="s">
        <v>3408</v>
      </c>
      <c r="F1329" t="str">
        <f>HYPERLINK("https://www.szaktars.hu/harmattan/view/protestantism-knowledge-and-the-world-of-science/", "https://www.szaktars.hu/harmattan/view/protestantism-knowledge-and-the-world-of-science/")</f>
        <v>https://www.szaktars.hu/harmattan/view/protestantism-knowledge-and-the-world-of-science/</v>
      </c>
    </row>
    <row r="1330" spans="1:6" x14ac:dyDescent="0.25">
      <c r="A1330" t="s">
        <v>3781</v>
      </c>
      <c r="B1330" t="s">
        <v>3782</v>
      </c>
      <c r="C1330" t="s">
        <v>3783</v>
      </c>
      <c r="D1330">
        <v>2012</v>
      </c>
      <c r="E1330" t="s">
        <v>3408</v>
      </c>
      <c r="F1330" t="str">
        <f>HYPERLINK("https://www.szaktars.hu/harmattan/view/tan-es-modszertan-conferentia-rerum-divinarum-3/", "https://www.szaktars.hu/harmattan/view/tan-es-modszertan-conferentia-rerum-divinarum-3/")</f>
        <v>https://www.szaktars.hu/harmattan/view/tan-es-modszertan-conferentia-rerum-divinarum-3/</v>
      </c>
    </row>
    <row r="1331" spans="1:6" x14ac:dyDescent="0.25">
      <c r="A1331" t="s">
        <v>3784</v>
      </c>
      <c r="B1331" t="s">
        <v>3785</v>
      </c>
      <c r="C1331" t="s">
        <v>3786</v>
      </c>
      <c r="D1331">
        <v>2016</v>
      </c>
      <c r="E1331" t="s">
        <v>3408</v>
      </c>
      <c r="F1331" t="str">
        <f>HYPERLINK("https://www.szaktars.hu/harmattan/view/szellemhivok-es-aldozarok-samansag-istenkepzetek-emberaldozat-az-inuit-eszkimo-aztek-es-inka-vallasok-irasos-forrasaiban/", "https://www.szaktars.hu/harmattan/view/szellemhivok-es-aldozarok-samansag-istenkepzetek-emberaldozat-az-inuit-eszkimo-aztek-es-inka-vallasok-irasos-forrasaiban/")</f>
        <v>https://www.szaktars.hu/harmattan/view/szellemhivok-es-aldozarok-samansag-istenkepzetek-emberaldozat-az-inuit-eszkimo-aztek-es-inka-vallasok-irasos-forrasaiban/</v>
      </c>
    </row>
    <row r="1332" spans="1:6" x14ac:dyDescent="0.25">
      <c r="A1332" t="s">
        <v>3787</v>
      </c>
      <c r="B1332" t="s">
        <v>3788</v>
      </c>
      <c r="C1332" t="s">
        <v>3789</v>
      </c>
      <c r="D1332">
        <v>2017</v>
      </c>
      <c r="E1332" t="s">
        <v>3408</v>
      </c>
      <c r="F1332" t="str">
        <f>HYPERLINK("https://www.szaktars.hu/harmattan/view/szanj-idot-magadra-hogy-eleted-legyen/", "https://www.szaktars.hu/harmattan/view/szanj-idot-magadra-hogy-eleted-legyen/")</f>
        <v>https://www.szaktars.hu/harmattan/view/szanj-idot-magadra-hogy-eleted-legyen/</v>
      </c>
    </row>
    <row r="1333" spans="1:6" x14ac:dyDescent="0.25">
      <c r="A1333" t="s">
        <v>3790</v>
      </c>
      <c r="B1333" t="s">
        <v>3791</v>
      </c>
      <c r="C1333" t="s">
        <v>3792</v>
      </c>
      <c r="D1333">
        <v>2015</v>
      </c>
      <c r="E1333" t="s">
        <v>3408</v>
      </c>
      <c r="F1333" t="str">
        <f>HYPERLINK("https://www.szaktars.hu/harmattan/view/az-egyhaz-elo-hagyomanya-tanulmany-a-hagyomany-teologiai-fogalmarol/", "https://www.szaktars.hu/harmattan/view/az-egyhaz-elo-hagyomanya-tanulmany-a-hagyomany-teologiai-fogalmarol/")</f>
        <v>https://www.szaktars.hu/harmattan/view/az-egyhaz-elo-hagyomanya-tanulmany-a-hagyomany-teologiai-fogalmarol/</v>
      </c>
    </row>
    <row r="1334" spans="1:6" x14ac:dyDescent="0.25">
      <c r="A1334" t="s">
        <v>3793</v>
      </c>
      <c r="B1334" t="s">
        <v>3794</v>
      </c>
      <c r="C1334" t="s">
        <v>3795</v>
      </c>
      <c r="D1334">
        <v>2015</v>
      </c>
      <c r="E1334" t="s">
        <v>3408</v>
      </c>
      <c r="F1334" t="str">
        <f>HYPERLINK("https://www.szaktars.hu/harmattan/view/hitetek-melle-tudomanyt-konferenciakotet/", "https://www.szaktars.hu/harmattan/view/hitetek-melle-tudomanyt-konferenciakotet/")</f>
        <v>https://www.szaktars.hu/harmattan/view/hitetek-melle-tudomanyt-konferenciakotet/</v>
      </c>
    </row>
    <row r="1335" spans="1:6" x14ac:dyDescent="0.25">
      <c r="A1335" t="s">
        <v>3796</v>
      </c>
      <c r="B1335" t="s">
        <v>3797</v>
      </c>
      <c r="C1335" t="s">
        <v>3798</v>
      </c>
      <c r="D1335">
        <v>2009</v>
      </c>
      <c r="E1335" t="s">
        <v>3408</v>
      </c>
      <c r="F1335" t="str">
        <f>HYPERLINK("https://www.szaktars.hu/harmattan/view/jovovaras-az-oszovetsegben/", "https://www.szaktars.hu/harmattan/view/jovovaras-az-oszovetsegben/")</f>
        <v>https://www.szaktars.hu/harmattan/view/jovovaras-az-oszovetsegben/</v>
      </c>
    </row>
    <row r="1336" spans="1:6" x14ac:dyDescent="0.25">
      <c r="A1336" t="s">
        <v>3799</v>
      </c>
      <c r="B1336" t="s">
        <v>3800</v>
      </c>
      <c r="C1336" t="s">
        <v>3801</v>
      </c>
      <c r="D1336">
        <v>2010</v>
      </c>
      <c r="E1336" t="s">
        <v>3408</v>
      </c>
      <c r="F1336" t="str">
        <f>HYPERLINK("https://www.szaktars.hu/harmattan/view/tanulmanyok-a-magyar-vallastudomany-torteneterol/", "https://www.szaktars.hu/harmattan/view/tanulmanyok-a-magyar-vallastudomany-torteneterol/")</f>
        <v>https://www.szaktars.hu/harmattan/view/tanulmanyok-a-magyar-vallastudomany-torteneterol/</v>
      </c>
    </row>
    <row r="1337" spans="1:6" x14ac:dyDescent="0.25">
      <c r="A1337" t="s">
        <v>3802</v>
      </c>
      <c r="B1337" t="s">
        <v>3803</v>
      </c>
      <c r="C1337" t="s">
        <v>3804</v>
      </c>
      <c r="D1337" t="s">
        <v>149</v>
      </c>
      <c r="E1337" t="s">
        <v>3408</v>
      </c>
      <c r="F1337" t="str">
        <f>HYPERLINK("https://www.szaktars.hu/harmattan/view/misszio-globalizacio-etika-matteo-ricci-szellemi-oroksege/", "https://www.szaktars.hu/harmattan/view/misszio-globalizacio-etika-matteo-ricci-szellemi-oroksege/")</f>
        <v>https://www.szaktars.hu/harmattan/view/misszio-globalizacio-etika-matteo-ricci-szellemi-oroksege/</v>
      </c>
    </row>
    <row r="1338" spans="1:6" x14ac:dyDescent="0.25">
      <c r="A1338" t="s">
        <v>3805</v>
      </c>
      <c r="B1338" t="s">
        <v>3806</v>
      </c>
      <c r="C1338" t="s">
        <v>3807</v>
      </c>
      <c r="D1338">
        <v>2015</v>
      </c>
      <c r="E1338" t="s">
        <v>3408</v>
      </c>
      <c r="F1338" t="str">
        <f>HYPERLINK("https://www.szaktars.hu/harmattan/view/szolito-szavak-tanulmanyok-fabiny-tibor-hatvanadik-szuletesnapjara/", "https://www.szaktars.hu/harmattan/view/szolito-szavak-tanulmanyok-fabiny-tibor-hatvanadik-szuletesnapjara/")</f>
        <v>https://www.szaktars.hu/harmattan/view/szolito-szavak-tanulmanyok-fabiny-tibor-hatvanadik-szuletesnapjara/</v>
      </c>
    </row>
    <row r="1339" spans="1:6" x14ac:dyDescent="0.25">
      <c r="A1339" t="s">
        <v>3808</v>
      </c>
      <c r="B1339" t="s">
        <v>3809</v>
      </c>
      <c r="C1339" t="s">
        <v>3810</v>
      </c>
      <c r="D1339">
        <v>2010</v>
      </c>
      <c r="E1339" t="s">
        <v>3408</v>
      </c>
      <c r="F1339" t="str">
        <f>HYPERLINK("https://www.szaktars.hu/harmattan/view/die-geschichtliche-bewertung-des-endlichen-seins-in-der-theologie-hans-urs-von-balthasars/", "https://www.szaktars.hu/harmattan/view/die-geschichtliche-bewertung-des-endlichen-seins-in-der-theologie-hans-urs-von-balthasars/")</f>
        <v>https://www.szaktars.hu/harmattan/view/die-geschichtliche-bewertung-des-endlichen-seins-in-der-theologie-hans-urs-von-balthasars/</v>
      </c>
    </row>
    <row r="1340" spans="1:6" x14ac:dyDescent="0.25">
      <c r="A1340" t="s">
        <v>3811</v>
      </c>
      <c r="B1340" t="s">
        <v>3406</v>
      </c>
      <c r="C1340" t="s">
        <v>3812</v>
      </c>
      <c r="D1340">
        <v>2005</v>
      </c>
      <c r="E1340" t="s">
        <v>3408</v>
      </c>
      <c r="F1340" t="str">
        <f>HYPERLINK("https://www.szaktars.hu/harmattan/view/ikonografia-okumenikus-megkozelitesben/", "https://www.szaktars.hu/harmattan/view/ikonografia-okumenikus-megkozelitesben/")</f>
        <v>https://www.szaktars.hu/harmattan/view/ikonografia-okumenikus-megkozelitesben/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L'Harmattan címlista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SZERKTITKAR</dc:creator>
  <cp:lastModifiedBy>Lencsés Ákos</cp:lastModifiedBy>
  <dcterms:created xsi:type="dcterms:W3CDTF">2017-04-19T10:12:52Z</dcterms:created>
  <dcterms:modified xsi:type="dcterms:W3CDTF">2018-02-28T12:27:01Z</dcterms:modified>
</cp:coreProperties>
</file>